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harts/chart6.xml" ContentType="application/vnd.openxmlformats-officedocument.drawingml.chart+xml"/>
  <Override PartName="/xl/drawings/drawing15.xml" ContentType="application/vnd.openxmlformats-officedocument.drawing+xml"/>
  <Override PartName="/xl/charts/chart7.xml" ContentType="application/vnd.openxmlformats-officedocument.drawingml.chart+xml"/>
  <Override PartName="/xl/drawings/drawing16.xml" ContentType="application/vnd.openxmlformats-officedocument.drawing+xml"/>
  <Override PartName="/xl/charts/chart8.xml" ContentType="application/vnd.openxmlformats-officedocument.drawingml.chart+xml"/>
  <Override PartName="/xl/drawings/drawing17.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defaultThemeVersion="124226"/>
  <mc:AlternateContent xmlns:mc="http://schemas.openxmlformats.org/markup-compatibility/2006">
    <mc:Choice Requires="x15">
      <x15ac:absPath xmlns:x15ac="http://schemas.microsoft.com/office/spreadsheetml/2010/11/ac" url="H:\1a\2632_TLUBN_KVR_Tabellen\c_jup\"/>
    </mc:Choice>
  </mc:AlternateContent>
  <xr:revisionPtr revIDLastSave="0" documentId="13_ncr:1_{3D59C899-94FE-4E6A-860C-6FDE32658447}" xr6:coauthVersionLast="47" xr6:coauthVersionMax="47" xr10:uidLastSave="{00000000-0000-0000-0000-000000000000}"/>
  <bookViews>
    <workbookView xWindow="-120" yWindow="-120" windowWidth="29040" windowHeight="15720" tabRatio="895" xr2:uid="{00000000-000D-0000-FFFF-FFFF00000000}"/>
  </bookViews>
  <sheets>
    <sheet name="Hinweise" sheetId="17" r:id="rId1"/>
    <sheet name="Erläuterungen" sheetId="20" r:id="rId2"/>
    <sheet name="Eingabe_1" sheetId="21" r:id="rId3"/>
    <sheet name="Eingabe_2" sheetId="22" r:id="rId4"/>
    <sheet name="Ergebnis" sheetId="1" r:id="rId5"/>
    <sheet name="Kosten Variante1" sheetId="9" r:id="rId6"/>
    <sheet name="Kosten Variante2" sheetId="18" r:id="rId7"/>
    <sheet name="Kosten Variante3" sheetId="19" r:id="rId8"/>
    <sheet name="Kosten Variante4" sheetId="24" r:id="rId9"/>
    <sheet name="Kosten Variante5" sheetId="25" r:id="rId10"/>
    <sheet name="PKBW 25 u 50" sheetId="15" r:id="rId11"/>
    <sheet name="PKBW 0-50" sheetId="6" r:id="rId12"/>
    <sheet name="NWK 25 u 50" sheetId="16" r:id="rId13"/>
    <sheet name="NWK 0-50" sheetId="23" r:id="rId14"/>
    <sheet name="Wichtung" sheetId="10" r:id="rId15"/>
    <sheet name="Nutzen" sheetId="11" r:id="rId16"/>
    <sheet name="Teilnutzwert" sheetId="12" r:id="rId17"/>
    <sheet name="Nutzwert" sheetId="14" r:id="rId18"/>
    <sheet name="PKBW Zeit" sheetId="5" r:id="rId19"/>
  </sheets>
  <definedNames>
    <definedName name="_xlnm._FilterDatabase" localSheetId="2" hidden="1">Eingabe_1!$A$12:$I$202</definedName>
    <definedName name="_xlnm._FilterDatabase" localSheetId="3" hidden="1">Eingabe_2!$A$5:$J$204</definedName>
    <definedName name="_xlnm._FilterDatabase" localSheetId="5" hidden="1">'Kosten Variante1'!$A$3:$AF$130</definedName>
    <definedName name="_xlnm._FilterDatabase" localSheetId="6" hidden="1">'Kosten Variante2'!$A$3:$AF$130</definedName>
    <definedName name="_xlnm._FilterDatabase" localSheetId="7" hidden="1">'Kosten Variante3'!$A$3:$AF$130</definedName>
    <definedName name="_xlnm._FilterDatabase" localSheetId="8" hidden="1">'Kosten Variante4'!$A$3:$AF$130</definedName>
    <definedName name="_xlnm._FilterDatabase" localSheetId="9" hidden="1">'Kosten Variante5'!$A$3:$AF$130</definedName>
    <definedName name="_xlnm._FilterDatabase" localSheetId="18" hidden="1">'PKBW Zeit'!$A$5:$AN$127</definedName>
    <definedName name="_xlnm.Print_Area" localSheetId="2">Eingabe_1!$A$1:$F$172</definedName>
    <definedName name="_xlnm.Print_Area" localSheetId="3">Eingabe_2!$A$1:$F$167</definedName>
    <definedName name="_xlnm.Print_Area" localSheetId="5">'Kosten Variante1'!$B$1:$W$73</definedName>
    <definedName name="_xlnm.Print_Area" localSheetId="6">'Kosten Variante2'!$B$1:$W$73</definedName>
    <definedName name="_xlnm.Print_Area" localSheetId="7">'Kosten Variante3'!$B$1:$W$73</definedName>
    <definedName name="_xlnm.Print_Area" localSheetId="8">'Kosten Variante4'!$B$1:$W$73</definedName>
    <definedName name="_xlnm.Print_Area" localSheetId="9">'Kosten Variante5'!$B$1:$W$73</definedName>
    <definedName name="Index" localSheetId="8">#REF!</definedName>
    <definedName name="Index" localSheetId="9">#REF!</definedName>
    <definedName name="Index">#REF!</definedName>
    <definedName name="Index2" localSheetId="8">#REF!</definedName>
    <definedName name="Index2" localSheetId="9">#REF!</definedName>
    <definedName name="Index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4" i="25" l="1"/>
  <c r="R23" i="25"/>
  <c r="R22" i="25"/>
  <c r="R21" i="25"/>
  <c r="R20" i="25"/>
  <c r="R19" i="25"/>
  <c r="R18" i="25"/>
  <c r="R17" i="25"/>
  <c r="R16" i="25"/>
  <c r="R15" i="25"/>
  <c r="R14" i="25"/>
  <c r="R13" i="25"/>
  <c r="R24" i="24"/>
  <c r="R23" i="24"/>
  <c r="R22" i="24"/>
  <c r="R21" i="24"/>
  <c r="R20" i="24"/>
  <c r="R19" i="24"/>
  <c r="R18" i="24"/>
  <c r="R17" i="24"/>
  <c r="R16" i="24"/>
  <c r="R15" i="24"/>
  <c r="R14" i="24"/>
  <c r="R13" i="24"/>
  <c r="R24" i="19"/>
  <c r="R23" i="19"/>
  <c r="R22" i="19"/>
  <c r="R21" i="19"/>
  <c r="R20" i="19"/>
  <c r="R19" i="19"/>
  <c r="R18" i="19"/>
  <c r="R17" i="19"/>
  <c r="R16" i="19"/>
  <c r="R15" i="19"/>
  <c r="R14" i="19"/>
  <c r="R13" i="19"/>
  <c r="R24" i="9"/>
  <c r="R23" i="9"/>
  <c r="R22" i="9"/>
  <c r="R21" i="9"/>
  <c r="R20" i="9"/>
  <c r="R19" i="9"/>
  <c r="R18" i="9"/>
  <c r="R17" i="9"/>
  <c r="R16" i="9"/>
  <c r="R15" i="9"/>
  <c r="R14" i="9"/>
  <c r="R13" i="9"/>
  <c r="F132" i="24"/>
  <c r="E132" i="24"/>
  <c r="D132" i="24"/>
  <c r="F132" i="19"/>
  <c r="E132" i="19"/>
  <c r="D132" i="19"/>
  <c r="F132" i="18"/>
  <c r="E132" i="18"/>
  <c r="D132" i="18"/>
  <c r="F132" i="9"/>
  <c r="E132" i="9"/>
  <c r="D132" i="9"/>
  <c r="E132" i="25"/>
  <c r="F132" i="25"/>
  <c r="D132" i="25"/>
  <c r="R23" i="18" l="1"/>
  <c r="R24" i="18"/>
  <c r="R15" i="18"/>
  <c r="R16" i="18"/>
  <c r="R17" i="18"/>
  <c r="R18" i="18"/>
  <c r="R19" i="18"/>
  <c r="R20" i="18"/>
  <c r="R21" i="18"/>
  <c r="V48" i="25" l="1"/>
  <c r="V47" i="25"/>
  <c r="V46" i="25"/>
  <c r="V48" i="24"/>
  <c r="V47" i="24"/>
  <c r="V46" i="24"/>
  <c r="V48" i="18"/>
  <c r="V47" i="18"/>
  <c r="V46" i="18"/>
  <c r="V48" i="9" l="1"/>
  <c r="V47" i="9"/>
  <c r="V46" i="9"/>
  <c r="V48" i="19" l="1"/>
  <c r="V47" i="19"/>
  <c r="V46" i="19"/>
  <c r="D63" i="25" l="1"/>
  <c r="D62" i="25"/>
  <c r="J69" i="25" s="1"/>
  <c r="D62" i="24"/>
  <c r="L7" i="25" l="1"/>
  <c r="U48" i="25"/>
  <c r="U47" i="25"/>
  <c r="U46" i="25"/>
  <c r="U45" i="25"/>
  <c r="U44" i="25"/>
  <c r="U43" i="25"/>
  <c r="U39" i="25"/>
  <c r="U38" i="25"/>
  <c r="U37" i="25"/>
  <c r="U33" i="25"/>
  <c r="U32" i="25"/>
  <c r="U31" i="25"/>
  <c r="U30" i="25"/>
  <c r="U29" i="25"/>
  <c r="U28" i="25"/>
  <c r="U27" i="25"/>
  <c r="U24" i="25"/>
  <c r="U23" i="25"/>
  <c r="U22" i="25"/>
  <c r="U21" i="25"/>
  <c r="U20" i="25"/>
  <c r="U19" i="25"/>
  <c r="U18" i="25"/>
  <c r="U17" i="25"/>
  <c r="U16" i="25"/>
  <c r="U15" i="25"/>
  <c r="U14" i="25"/>
  <c r="U13" i="25"/>
  <c r="U9" i="25"/>
  <c r="U8" i="25"/>
  <c r="T45" i="25"/>
  <c r="T44" i="25"/>
  <c r="T43" i="25"/>
  <c r="T39" i="25"/>
  <c r="T38" i="25"/>
  <c r="T37" i="25"/>
  <c r="T33" i="25"/>
  <c r="T32" i="25"/>
  <c r="T31" i="25"/>
  <c r="T30" i="25"/>
  <c r="T29" i="25"/>
  <c r="T28" i="25"/>
  <c r="T27" i="25"/>
  <c r="T24" i="25"/>
  <c r="T23" i="25"/>
  <c r="T22" i="25"/>
  <c r="T21" i="25"/>
  <c r="T20" i="25"/>
  <c r="T19" i="25"/>
  <c r="T18" i="25"/>
  <c r="T17" i="25"/>
  <c r="T16" i="25"/>
  <c r="T15" i="25"/>
  <c r="T14" i="25"/>
  <c r="T13" i="25"/>
  <c r="N48" i="25"/>
  <c r="N47" i="25"/>
  <c r="N46" i="25"/>
  <c r="N45" i="25"/>
  <c r="N44" i="25"/>
  <c r="N43" i="25"/>
  <c r="N39" i="25"/>
  <c r="N38" i="25"/>
  <c r="N37" i="25"/>
  <c r="N33" i="25"/>
  <c r="N32" i="25"/>
  <c r="N31" i="25"/>
  <c r="N30" i="25"/>
  <c r="N29" i="25"/>
  <c r="N28" i="25"/>
  <c r="N27" i="25"/>
  <c r="M48" i="25"/>
  <c r="M47" i="25"/>
  <c r="M46" i="25"/>
  <c r="M45" i="25"/>
  <c r="M44" i="25"/>
  <c r="M43" i="25"/>
  <c r="M39" i="25"/>
  <c r="M38" i="25"/>
  <c r="M37" i="25"/>
  <c r="M33" i="25"/>
  <c r="M32" i="25"/>
  <c r="M31" i="25"/>
  <c r="M30" i="25"/>
  <c r="M29" i="25"/>
  <c r="M28" i="25"/>
  <c r="M27" i="25"/>
  <c r="M24" i="25"/>
  <c r="M23" i="25"/>
  <c r="M22" i="25"/>
  <c r="M21" i="25"/>
  <c r="M20" i="25"/>
  <c r="M19" i="25"/>
  <c r="M18" i="25"/>
  <c r="M17" i="25"/>
  <c r="M16" i="25"/>
  <c r="M15" i="25"/>
  <c r="M14" i="25"/>
  <c r="M13" i="25"/>
  <c r="M9" i="25"/>
  <c r="M8" i="25"/>
  <c r="M7" i="25"/>
  <c r="T45" i="24"/>
  <c r="T44" i="24"/>
  <c r="T43" i="24"/>
  <c r="T39" i="24"/>
  <c r="T38" i="24"/>
  <c r="T37" i="24"/>
  <c r="T33" i="24"/>
  <c r="T32" i="24"/>
  <c r="T31" i="24"/>
  <c r="T30" i="24"/>
  <c r="T29" i="24"/>
  <c r="T28" i="24"/>
  <c r="T27" i="24"/>
  <c r="U48" i="24"/>
  <c r="U47" i="24"/>
  <c r="U46" i="24"/>
  <c r="U45" i="24"/>
  <c r="U44" i="24"/>
  <c r="U43" i="24"/>
  <c r="U39" i="24"/>
  <c r="U38" i="24"/>
  <c r="U37" i="24"/>
  <c r="U33" i="24"/>
  <c r="U32" i="24"/>
  <c r="U31" i="24"/>
  <c r="U30" i="24"/>
  <c r="U29" i="24"/>
  <c r="U28" i="24"/>
  <c r="U27" i="24"/>
  <c r="U24" i="24"/>
  <c r="U23" i="24"/>
  <c r="U22" i="24"/>
  <c r="U21" i="24"/>
  <c r="U20" i="24"/>
  <c r="U19" i="24"/>
  <c r="U18" i="24"/>
  <c r="U17" i="24"/>
  <c r="U16" i="24"/>
  <c r="T24" i="24"/>
  <c r="T23" i="24"/>
  <c r="T22" i="24"/>
  <c r="T21" i="24"/>
  <c r="T20" i="24"/>
  <c r="T19" i="24"/>
  <c r="T18" i="24"/>
  <c r="T17" i="24"/>
  <c r="T16" i="24"/>
  <c r="U15" i="24"/>
  <c r="T15" i="24"/>
  <c r="U14" i="24"/>
  <c r="T14" i="24"/>
  <c r="U13" i="24"/>
  <c r="T13" i="24"/>
  <c r="U9" i="24"/>
  <c r="U8" i="24"/>
  <c r="N48" i="24"/>
  <c r="N47" i="24"/>
  <c r="N46" i="24"/>
  <c r="N45" i="24"/>
  <c r="N44" i="24"/>
  <c r="N43" i="24"/>
  <c r="N39" i="24"/>
  <c r="N38" i="24"/>
  <c r="N37" i="24"/>
  <c r="N33" i="24"/>
  <c r="N32" i="24"/>
  <c r="N31" i="24"/>
  <c r="N30" i="24"/>
  <c r="N29" i="24"/>
  <c r="N28" i="24"/>
  <c r="N27" i="24"/>
  <c r="M48" i="24"/>
  <c r="M47" i="24"/>
  <c r="M46" i="24"/>
  <c r="M45" i="24"/>
  <c r="M44" i="24"/>
  <c r="M43" i="24"/>
  <c r="M39" i="24"/>
  <c r="M38" i="24"/>
  <c r="M37" i="24"/>
  <c r="M33" i="24"/>
  <c r="M32" i="24"/>
  <c r="M31" i="24"/>
  <c r="M30" i="24"/>
  <c r="M29" i="24"/>
  <c r="M28" i="24"/>
  <c r="M27" i="24"/>
  <c r="M24" i="24"/>
  <c r="M23" i="24"/>
  <c r="M22" i="24"/>
  <c r="M21" i="24"/>
  <c r="M20" i="24"/>
  <c r="M19" i="24"/>
  <c r="M18" i="24"/>
  <c r="M17" i="24"/>
  <c r="M16" i="24"/>
  <c r="M15" i="24"/>
  <c r="M14" i="24"/>
  <c r="M13" i="24"/>
  <c r="M9" i="24"/>
  <c r="M8" i="24"/>
  <c r="M7" i="24"/>
  <c r="D63" i="24"/>
  <c r="J69" i="24" s="1"/>
  <c r="H45" i="24"/>
  <c r="H44" i="24"/>
  <c r="H43" i="24"/>
  <c r="H45" i="25"/>
  <c r="H44" i="25"/>
  <c r="H43" i="25"/>
  <c r="G8" i="1"/>
  <c r="H8" i="1"/>
  <c r="G9" i="1"/>
  <c r="H9" i="1"/>
  <c r="G10" i="1"/>
  <c r="H10" i="1"/>
  <c r="G11" i="1"/>
  <c r="H11" i="1"/>
  <c r="G12" i="1"/>
  <c r="H12" i="1"/>
  <c r="G13" i="1"/>
  <c r="H13" i="1"/>
  <c r="H5" i="1" l="1"/>
  <c r="O5" i="1" s="1"/>
  <c r="H4" i="1"/>
  <c r="O4" i="1" s="1"/>
  <c r="G5" i="1"/>
  <c r="N5" i="1" s="1"/>
  <c r="G4" i="1"/>
  <c r="N4" i="1" s="1"/>
  <c r="G16" i="1" l="1"/>
  <c r="H16" i="1"/>
  <c r="AU4" i="5"/>
  <c r="AQ3" i="5"/>
  <c r="BE105" i="5"/>
  <c r="BE103" i="5"/>
  <c r="BE101" i="5"/>
  <c r="BE99" i="5"/>
  <c r="BE97" i="5"/>
  <c r="BE95" i="5"/>
  <c r="BE93" i="5"/>
  <c r="BE91" i="5"/>
  <c r="BE89" i="5"/>
  <c r="BE87" i="5"/>
  <c r="BE85" i="5"/>
  <c r="BE83" i="5"/>
  <c r="BE79" i="5"/>
  <c r="BE77" i="5"/>
  <c r="BE75" i="5"/>
  <c r="BE73" i="5"/>
  <c r="BE71" i="5"/>
  <c r="BE69" i="5"/>
  <c r="BE67" i="5"/>
  <c r="BE65" i="5"/>
  <c r="BE63" i="5"/>
  <c r="BE61" i="5"/>
  <c r="BE59" i="5"/>
  <c r="BE57" i="5"/>
  <c r="BE55" i="5"/>
  <c r="BE53" i="5"/>
  <c r="BE51" i="5"/>
  <c r="BE49" i="5"/>
  <c r="BE47" i="5"/>
  <c r="BE45" i="5"/>
  <c r="BE43" i="5"/>
  <c r="BE41" i="5"/>
  <c r="BE39" i="5"/>
  <c r="BE37" i="5"/>
  <c r="BE35" i="5"/>
  <c r="BE33" i="5"/>
  <c r="BE29" i="5"/>
  <c r="BE27" i="5"/>
  <c r="BE25" i="5"/>
  <c r="BE23" i="5"/>
  <c r="BE21" i="5"/>
  <c r="BE19" i="5"/>
  <c r="BE17" i="5"/>
  <c r="BE15" i="5"/>
  <c r="BE13" i="5"/>
  <c r="BE11" i="5"/>
  <c r="BE9" i="5"/>
  <c r="BB8" i="5"/>
  <c r="BB10" i="5" s="1"/>
  <c r="BB12" i="5" s="1"/>
  <c r="BB14" i="5" s="1"/>
  <c r="BE7" i="5"/>
  <c r="AR105" i="5"/>
  <c r="AR103" i="5"/>
  <c r="AR101" i="5"/>
  <c r="AR99" i="5"/>
  <c r="AR97" i="5"/>
  <c r="AR95" i="5"/>
  <c r="AR93" i="5"/>
  <c r="AR91" i="5"/>
  <c r="AR89" i="5"/>
  <c r="AR87" i="5"/>
  <c r="AR85" i="5"/>
  <c r="AR83" i="5"/>
  <c r="AR79" i="5"/>
  <c r="AR77" i="5"/>
  <c r="AR75" i="5"/>
  <c r="AR73" i="5"/>
  <c r="AR71" i="5"/>
  <c r="AR69" i="5"/>
  <c r="AR67" i="5"/>
  <c r="AR65" i="5"/>
  <c r="AR63" i="5"/>
  <c r="AR61" i="5"/>
  <c r="AR59" i="5"/>
  <c r="AR57" i="5"/>
  <c r="AR55" i="5"/>
  <c r="AR53" i="5"/>
  <c r="AR51" i="5"/>
  <c r="AR49" i="5"/>
  <c r="AR47" i="5"/>
  <c r="AR45" i="5"/>
  <c r="AR43" i="5"/>
  <c r="AR41" i="5"/>
  <c r="AR39" i="5"/>
  <c r="AR37" i="5"/>
  <c r="AR35" i="5"/>
  <c r="AR33" i="5"/>
  <c r="AR29" i="5"/>
  <c r="AR27" i="5"/>
  <c r="AR25" i="5"/>
  <c r="AR23" i="5"/>
  <c r="AR21" i="5"/>
  <c r="AR19" i="5"/>
  <c r="AR17" i="5"/>
  <c r="AR15" i="5"/>
  <c r="AR13" i="5"/>
  <c r="AR11" i="5"/>
  <c r="AR9" i="5"/>
  <c r="AO8" i="5"/>
  <c r="AO10" i="5" s="1"/>
  <c r="AO12" i="5" s="1"/>
  <c r="AO14" i="5" s="1"/>
  <c r="AO16" i="5" s="1"/>
  <c r="AO18" i="5" s="1"/>
  <c r="AO20" i="5" s="1"/>
  <c r="AO22" i="5" s="1"/>
  <c r="AO24" i="5" s="1"/>
  <c r="AO26" i="5" s="1"/>
  <c r="AO28" i="5" s="1"/>
  <c r="AO30" i="5" s="1"/>
  <c r="AO32" i="5" s="1"/>
  <c r="AO34" i="5" s="1"/>
  <c r="AO36" i="5" s="1"/>
  <c r="AO38" i="5" s="1"/>
  <c r="AO40" i="5" s="1"/>
  <c r="AO42" i="5" s="1"/>
  <c r="AO44" i="5" s="1"/>
  <c r="AO46" i="5" s="1"/>
  <c r="AO48" i="5" s="1"/>
  <c r="AO50" i="5" s="1"/>
  <c r="AO52" i="5" s="1"/>
  <c r="AO54" i="5" s="1"/>
  <c r="AO56" i="5" s="1"/>
  <c r="AO58" i="5" s="1"/>
  <c r="AO60" i="5" s="1"/>
  <c r="AO62" i="5" s="1"/>
  <c r="AO64" i="5" s="1"/>
  <c r="AO66" i="5" s="1"/>
  <c r="AO68" i="5" s="1"/>
  <c r="AR7" i="5"/>
  <c r="BB16" i="5" l="1"/>
  <c r="BB18" i="5" s="1"/>
  <c r="BB20" i="5" s="1"/>
  <c r="BB22" i="5" s="1"/>
  <c r="BB24" i="5" s="1"/>
  <c r="AO70" i="5"/>
  <c r="AO72" i="5" s="1"/>
  <c r="AO74" i="5" s="1"/>
  <c r="AO76" i="5" s="1"/>
  <c r="AO78" i="5" s="1"/>
  <c r="AO80" i="5" s="1"/>
  <c r="AO82" i="5" s="1"/>
  <c r="AO84" i="5" s="1"/>
  <c r="AO86" i="5" s="1"/>
  <c r="AO88" i="5" s="1"/>
  <c r="AO90" i="5" s="1"/>
  <c r="AO92" i="5" s="1"/>
  <c r="AO94" i="5" s="1"/>
  <c r="AO96" i="5" s="1"/>
  <c r="AO98" i="5" s="1"/>
  <c r="AO100" i="5" s="1"/>
  <c r="AO102" i="5" s="1"/>
  <c r="AO104" i="5" s="1"/>
  <c r="AO106" i="5" s="1"/>
  <c r="AQ106" i="5" s="1"/>
  <c r="AR106" i="5" s="1"/>
  <c r="AQ68" i="5"/>
  <c r="AR68" i="5" s="1"/>
  <c r="AQ22" i="5"/>
  <c r="AR22" i="5" s="1"/>
  <c r="AU3" i="5"/>
  <c r="AQ28" i="5"/>
  <c r="AR28" i="5" s="1"/>
  <c r="AQ12" i="5"/>
  <c r="AR12" i="5" s="1"/>
  <c r="AQ48" i="5"/>
  <c r="AR48" i="5" s="1"/>
  <c r="AQ52" i="5"/>
  <c r="AR52" i="5" s="1"/>
  <c r="AQ32" i="5"/>
  <c r="AR32" i="5" s="1"/>
  <c r="AQ36" i="5"/>
  <c r="AR36" i="5" s="1"/>
  <c r="AQ42" i="5"/>
  <c r="AR42" i="5" s="1"/>
  <c r="AQ58" i="5"/>
  <c r="AQ6" i="5"/>
  <c r="AQ18" i="5"/>
  <c r="AR18" i="5" s="1"/>
  <c r="AQ16" i="5"/>
  <c r="AR16" i="5" s="1"/>
  <c r="AQ62" i="5"/>
  <c r="AR62" i="5" s="1"/>
  <c r="AQ46" i="5"/>
  <c r="AR46" i="5" s="1"/>
  <c r="AQ26" i="5"/>
  <c r="AR26" i="5" s="1"/>
  <c r="AQ10" i="5"/>
  <c r="AR10" i="5" s="1"/>
  <c r="AQ54" i="5"/>
  <c r="AR54" i="5" s="1"/>
  <c r="AQ66" i="5"/>
  <c r="AR66" i="5" s="1"/>
  <c r="AQ56" i="5"/>
  <c r="AR56" i="5" s="1"/>
  <c r="AQ40" i="5"/>
  <c r="AR40" i="5" s="1"/>
  <c r="AQ31" i="5"/>
  <c r="AQ20" i="5"/>
  <c r="AR20" i="5" s="1"/>
  <c r="AQ60" i="5"/>
  <c r="AR60" i="5" s="1"/>
  <c r="AQ50" i="5"/>
  <c r="AR50" i="5" s="1"/>
  <c r="AQ34" i="5"/>
  <c r="AR34" i="5" s="1"/>
  <c r="AQ30" i="5"/>
  <c r="AR30" i="5" s="1"/>
  <c r="AQ14" i="5"/>
  <c r="AR14" i="5" s="1"/>
  <c r="AQ38" i="5"/>
  <c r="AR38" i="5" s="1"/>
  <c r="AQ81" i="5"/>
  <c r="AQ44" i="5"/>
  <c r="AR44" i="5" s="1"/>
  <c r="AQ24" i="5"/>
  <c r="AR24" i="5" s="1"/>
  <c r="AQ8" i="5"/>
  <c r="AR8" i="5" s="1"/>
  <c r="AQ64" i="5"/>
  <c r="AR64" i="5" s="1"/>
  <c r="L45" i="25"/>
  <c r="L44" i="25"/>
  <c r="L43" i="25"/>
  <c r="L39" i="25"/>
  <c r="L38" i="25"/>
  <c r="L37" i="25"/>
  <c r="L33" i="25"/>
  <c r="L32" i="25"/>
  <c r="L31" i="25"/>
  <c r="L30" i="25"/>
  <c r="L29" i="25"/>
  <c r="L28" i="25"/>
  <c r="L27" i="25"/>
  <c r="L24" i="25"/>
  <c r="L23" i="25"/>
  <c r="L22" i="25"/>
  <c r="L21" i="25"/>
  <c r="L20" i="25"/>
  <c r="L19" i="25"/>
  <c r="L18" i="25"/>
  <c r="L17" i="25"/>
  <c r="L16" i="25"/>
  <c r="L15" i="25"/>
  <c r="L14" i="25"/>
  <c r="L13" i="25"/>
  <c r="L9" i="25"/>
  <c r="L8" i="25"/>
  <c r="L45" i="24"/>
  <c r="L44" i="24"/>
  <c r="L43" i="24"/>
  <c r="L39" i="24"/>
  <c r="L38" i="24"/>
  <c r="L37" i="24"/>
  <c r="L33" i="24"/>
  <c r="L32" i="24"/>
  <c r="L31" i="24"/>
  <c r="L30" i="24"/>
  <c r="L29" i="24"/>
  <c r="L28" i="24"/>
  <c r="L27" i="24"/>
  <c r="L24" i="24"/>
  <c r="L23" i="24"/>
  <c r="L22" i="24"/>
  <c r="L21" i="24"/>
  <c r="L20" i="24"/>
  <c r="L19" i="24"/>
  <c r="L18" i="24"/>
  <c r="L17" i="24"/>
  <c r="L16" i="24"/>
  <c r="L15" i="24"/>
  <c r="L14" i="24"/>
  <c r="L13" i="24"/>
  <c r="L9" i="24"/>
  <c r="L8" i="24"/>
  <c r="L7" i="24"/>
  <c r="L54" i="25"/>
  <c r="L53" i="25"/>
  <c r="AC53" i="25" s="1"/>
  <c r="L52" i="25"/>
  <c r="L54" i="24"/>
  <c r="AC54" i="24" s="1"/>
  <c r="L53" i="24"/>
  <c r="L52" i="24"/>
  <c r="AC52" i="24" s="1"/>
  <c r="G14" i="25"/>
  <c r="I39" i="25"/>
  <c r="I38" i="25"/>
  <c r="I37" i="25"/>
  <c r="I24" i="25"/>
  <c r="I23" i="25"/>
  <c r="I22" i="25"/>
  <c r="I21" i="25"/>
  <c r="I20" i="25"/>
  <c r="I19" i="25"/>
  <c r="I18" i="25"/>
  <c r="I17" i="25"/>
  <c r="I16" i="25"/>
  <c r="I15" i="25"/>
  <c r="I14" i="25"/>
  <c r="I13" i="25"/>
  <c r="H24" i="25"/>
  <c r="H23" i="25"/>
  <c r="H22" i="25"/>
  <c r="H21" i="25"/>
  <c r="H20" i="25"/>
  <c r="H19" i="25"/>
  <c r="H18" i="25"/>
  <c r="H17" i="25"/>
  <c r="H16" i="25"/>
  <c r="H15" i="25"/>
  <c r="H14" i="25"/>
  <c r="H13" i="25"/>
  <c r="G24" i="25"/>
  <c r="G23" i="25"/>
  <c r="G22" i="25"/>
  <c r="AF22" i="25" s="1"/>
  <c r="G21" i="25"/>
  <c r="G20" i="25"/>
  <c r="G19" i="25"/>
  <c r="G18" i="25"/>
  <c r="G17" i="25"/>
  <c r="G16" i="25"/>
  <c r="G15" i="25"/>
  <c r="G13" i="25"/>
  <c r="G48" i="25"/>
  <c r="T48" i="25" s="1"/>
  <c r="G47" i="25"/>
  <c r="T47" i="25" s="1"/>
  <c r="G46" i="25"/>
  <c r="T46" i="25" s="1"/>
  <c r="G45" i="25"/>
  <c r="G44" i="25"/>
  <c r="G43" i="25"/>
  <c r="D48" i="25"/>
  <c r="D47" i="25"/>
  <c r="D46" i="25"/>
  <c r="D45" i="25"/>
  <c r="D44" i="25"/>
  <c r="D43" i="25"/>
  <c r="G39" i="25"/>
  <c r="G38" i="25"/>
  <c r="G37" i="25"/>
  <c r="F39" i="25"/>
  <c r="F38" i="25"/>
  <c r="F37" i="25"/>
  <c r="D39" i="25"/>
  <c r="R39" i="25" s="1"/>
  <c r="D38" i="25"/>
  <c r="D37" i="25"/>
  <c r="R37" i="25" s="1"/>
  <c r="F33" i="25"/>
  <c r="F32" i="25"/>
  <c r="F31" i="25"/>
  <c r="F30" i="25"/>
  <c r="F29" i="25"/>
  <c r="F28" i="25"/>
  <c r="F27" i="25"/>
  <c r="F24" i="25"/>
  <c r="F23" i="25"/>
  <c r="F22" i="25"/>
  <c r="F21" i="25"/>
  <c r="F20" i="25"/>
  <c r="F19" i="25"/>
  <c r="F18" i="25"/>
  <c r="F17" i="25"/>
  <c r="F16" i="25"/>
  <c r="F15" i="25"/>
  <c r="F14" i="25"/>
  <c r="F13" i="25"/>
  <c r="D33" i="25"/>
  <c r="D31" i="25"/>
  <c r="D30" i="25"/>
  <c r="D29" i="25"/>
  <c r="D28" i="25"/>
  <c r="D27" i="25"/>
  <c r="D24" i="25"/>
  <c r="D23" i="25"/>
  <c r="D22" i="25"/>
  <c r="D21" i="25"/>
  <c r="D20" i="25"/>
  <c r="D19" i="25"/>
  <c r="D18" i="25"/>
  <c r="D17" i="25"/>
  <c r="D16" i="25"/>
  <c r="D15" i="25"/>
  <c r="D14" i="25"/>
  <c r="D13" i="25"/>
  <c r="D9" i="25"/>
  <c r="R9" i="25" s="1"/>
  <c r="D8" i="25"/>
  <c r="R8" i="25" s="1"/>
  <c r="D7" i="25"/>
  <c r="K7" i="25" s="1"/>
  <c r="G48" i="24"/>
  <c r="T48" i="24" s="1"/>
  <c r="G47" i="24"/>
  <c r="T47" i="24" s="1"/>
  <c r="G46" i="24"/>
  <c r="T46" i="24" s="1"/>
  <c r="G45" i="24"/>
  <c r="G44" i="24"/>
  <c r="G43" i="24"/>
  <c r="H42" i="24" s="1"/>
  <c r="D48" i="24"/>
  <c r="D47" i="24"/>
  <c r="D46" i="24"/>
  <c r="D45" i="24"/>
  <c r="D44" i="24"/>
  <c r="D43" i="24"/>
  <c r="I39" i="24"/>
  <c r="I38" i="24"/>
  <c r="I37" i="24"/>
  <c r="G39" i="24"/>
  <c r="G38" i="24"/>
  <c r="G37" i="24"/>
  <c r="F39" i="24"/>
  <c r="F38" i="24"/>
  <c r="F37" i="24"/>
  <c r="D39" i="24"/>
  <c r="R39" i="24" s="1"/>
  <c r="D38" i="24"/>
  <c r="R38" i="24" s="1"/>
  <c r="D37" i="24"/>
  <c r="R37" i="24" s="1"/>
  <c r="F33" i="24"/>
  <c r="S33" i="24" s="1"/>
  <c r="F32" i="24"/>
  <c r="F31" i="24"/>
  <c r="F30" i="24"/>
  <c r="F29" i="24"/>
  <c r="F28" i="24"/>
  <c r="F27" i="24"/>
  <c r="D33" i="24"/>
  <c r="D31" i="24"/>
  <c r="D30" i="24"/>
  <c r="D29" i="24"/>
  <c r="D28" i="24"/>
  <c r="D27" i="24"/>
  <c r="I24" i="24"/>
  <c r="I23" i="24"/>
  <c r="I22" i="24"/>
  <c r="I21" i="24"/>
  <c r="I20" i="24"/>
  <c r="I19" i="24"/>
  <c r="I18" i="24"/>
  <c r="I17" i="24"/>
  <c r="I16" i="24"/>
  <c r="I15" i="24"/>
  <c r="I14" i="24"/>
  <c r="I13" i="24"/>
  <c r="H24" i="24"/>
  <c r="AF24" i="24" s="1"/>
  <c r="H23" i="24"/>
  <c r="H22" i="24"/>
  <c r="H21" i="24"/>
  <c r="H20" i="24"/>
  <c r="H19" i="24"/>
  <c r="H18" i="24"/>
  <c r="H17" i="24"/>
  <c r="H16" i="24"/>
  <c r="H15" i="24"/>
  <c r="H14" i="24"/>
  <c r="H13" i="24"/>
  <c r="G24" i="24"/>
  <c r="G23" i="24"/>
  <c r="G22" i="24"/>
  <c r="G21" i="24"/>
  <c r="G20" i="24"/>
  <c r="G19" i="24"/>
  <c r="G18" i="24"/>
  <c r="G17" i="24"/>
  <c r="G16" i="24"/>
  <c r="G15" i="24"/>
  <c r="G14" i="24"/>
  <c r="G13" i="24"/>
  <c r="F24" i="24"/>
  <c r="F23" i="24"/>
  <c r="F22" i="24"/>
  <c r="F21" i="24"/>
  <c r="F20" i="24"/>
  <c r="F19" i="24"/>
  <c r="F18" i="24"/>
  <c r="F17" i="24"/>
  <c r="F16" i="24"/>
  <c r="F15" i="24"/>
  <c r="F14" i="24"/>
  <c r="F13" i="24"/>
  <c r="D24" i="24"/>
  <c r="D23" i="24"/>
  <c r="D22" i="24"/>
  <c r="D21" i="24"/>
  <c r="D20" i="24"/>
  <c r="D19" i="24"/>
  <c r="D18" i="24"/>
  <c r="D17" i="24"/>
  <c r="D16" i="24"/>
  <c r="D15" i="24"/>
  <c r="D14" i="24"/>
  <c r="D13" i="24"/>
  <c r="D9" i="24"/>
  <c r="D8" i="24"/>
  <c r="R8" i="24" s="1"/>
  <c r="D7" i="24"/>
  <c r="K7" i="24" s="1"/>
  <c r="G1" i="25"/>
  <c r="BB1" i="5" s="1"/>
  <c r="BM3" i="5" s="1"/>
  <c r="G1" i="24"/>
  <c r="AO1" i="5" s="1"/>
  <c r="AZ3" i="5" s="1"/>
  <c r="F1" i="25"/>
  <c r="D73" i="25"/>
  <c r="J67" i="25"/>
  <c r="J70" i="25"/>
  <c r="K55" i="25"/>
  <c r="AD54" i="25"/>
  <c r="AC54" i="25"/>
  <c r="AD53" i="25"/>
  <c r="AD52" i="25"/>
  <c r="AC52" i="25"/>
  <c r="S41" i="25"/>
  <c r="L41" i="25"/>
  <c r="T41" i="25"/>
  <c r="U34" i="25"/>
  <c r="M34" i="25"/>
  <c r="Q34" i="25" s="1"/>
  <c r="T35" i="25"/>
  <c r="AF18" i="25"/>
  <c r="J18" i="25" s="1"/>
  <c r="AD7" i="25"/>
  <c r="F1" i="24"/>
  <c r="D73" i="24"/>
  <c r="J70" i="24"/>
  <c r="J68" i="24"/>
  <c r="J66" i="24"/>
  <c r="J71" i="24"/>
  <c r="K55" i="24"/>
  <c r="AD54" i="24"/>
  <c r="AD53" i="24"/>
  <c r="AC53" i="24"/>
  <c r="AD52" i="24"/>
  <c r="T41" i="24"/>
  <c r="S41" i="24"/>
  <c r="U34" i="24"/>
  <c r="M34" i="24"/>
  <c r="P34" i="24" s="1"/>
  <c r="T35" i="24"/>
  <c r="AD7" i="24"/>
  <c r="R48" i="25" l="1"/>
  <c r="J48" i="25"/>
  <c r="J48" i="24"/>
  <c r="R48" i="24"/>
  <c r="S48" i="24" s="1"/>
  <c r="R47" i="25"/>
  <c r="J47" i="25"/>
  <c r="J47" i="24"/>
  <c r="R47" i="24"/>
  <c r="S47" i="24" s="1"/>
  <c r="R46" i="24"/>
  <c r="J46" i="24"/>
  <c r="J46" i="25"/>
  <c r="R46" i="25"/>
  <c r="R45" i="24"/>
  <c r="J45" i="24"/>
  <c r="J45" i="25"/>
  <c r="R45" i="25"/>
  <c r="J44" i="24"/>
  <c r="R44" i="24"/>
  <c r="J44" i="25"/>
  <c r="R44" i="25"/>
  <c r="R43" i="24"/>
  <c r="J43" i="24"/>
  <c r="J43" i="25"/>
  <c r="R43" i="25"/>
  <c r="R38" i="25"/>
  <c r="AD38" i="25" s="1"/>
  <c r="K33" i="25"/>
  <c r="R33" i="25"/>
  <c r="S33" i="25"/>
  <c r="K33" i="24"/>
  <c r="R33" i="24"/>
  <c r="K32" i="25"/>
  <c r="S32" i="25"/>
  <c r="R32" i="25"/>
  <c r="K32" i="24"/>
  <c r="S32" i="24"/>
  <c r="R32" i="24"/>
  <c r="K31" i="25"/>
  <c r="S31" i="25"/>
  <c r="R31" i="25"/>
  <c r="K31" i="24"/>
  <c r="S31" i="24"/>
  <c r="R31" i="24"/>
  <c r="S30" i="25"/>
  <c r="R30" i="25"/>
  <c r="K30" i="25"/>
  <c r="K30" i="24"/>
  <c r="S30" i="24"/>
  <c r="R30" i="24"/>
  <c r="S29" i="24"/>
  <c r="K29" i="24"/>
  <c r="R29" i="24"/>
  <c r="R29" i="25"/>
  <c r="S29" i="25"/>
  <c r="K29" i="25"/>
  <c r="Q29" i="25" s="1"/>
  <c r="K28" i="24"/>
  <c r="S28" i="24"/>
  <c r="R28" i="24"/>
  <c r="Q28" i="25"/>
  <c r="K28" i="25"/>
  <c r="S28" i="25"/>
  <c r="R28" i="25"/>
  <c r="S27" i="24"/>
  <c r="R27" i="24"/>
  <c r="K27" i="24"/>
  <c r="S27" i="25"/>
  <c r="K27" i="25"/>
  <c r="R27" i="25"/>
  <c r="T9" i="24"/>
  <c r="R9" i="24"/>
  <c r="K48" i="24"/>
  <c r="AC48" i="24" s="1"/>
  <c r="K47" i="24"/>
  <c r="K47" i="25"/>
  <c r="Q47" i="25" s="1"/>
  <c r="S47" i="25"/>
  <c r="AD47" i="25" s="1"/>
  <c r="K46" i="24"/>
  <c r="S46" i="24"/>
  <c r="K46" i="25"/>
  <c r="Q46" i="25" s="1"/>
  <c r="S46" i="25"/>
  <c r="S50" i="25" s="1"/>
  <c r="K45" i="24"/>
  <c r="AC45" i="24" s="1"/>
  <c r="S45" i="24"/>
  <c r="AD45" i="24" s="1"/>
  <c r="S45" i="25"/>
  <c r="AD45" i="25" s="1"/>
  <c r="K45" i="25"/>
  <c r="Q45" i="25" s="1"/>
  <c r="S44" i="25"/>
  <c r="AD44" i="25" s="1"/>
  <c r="K44" i="25"/>
  <c r="Q44" i="25" s="1"/>
  <c r="S44" i="24"/>
  <c r="AD44" i="24" s="1"/>
  <c r="K44" i="24"/>
  <c r="P44" i="24" s="1"/>
  <c r="K43" i="24"/>
  <c r="AC43" i="24" s="1"/>
  <c r="S43" i="24"/>
  <c r="S43" i="25"/>
  <c r="K43" i="25"/>
  <c r="AC43" i="25" s="1"/>
  <c r="Q33" i="25"/>
  <c r="AC30" i="25"/>
  <c r="AD55" i="24"/>
  <c r="P34" i="25"/>
  <c r="AD55" i="25"/>
  <c r="T49" i="25"/>
  <c r="T49" i="24"/>
  <c r="AE47" i="25"/>
  <c r="K48" i="25"/>
  <c r="Q48" i="25" s="1"/>
  <c r="Q32" i="25"/>
  <c r="AF15" i="25"/>
  <c r="J15" i="25" s="1"/>
  <c r="K15" i="25" s="1"/>
  <c r="AC15" i="25" s="1"/>
  <c r="AF37" i="24"/>
  <c r="J37" i="24" s="1"/>
  <c r="K37" i="24" s="1"/>
  <c r="L41" i="24"/>
  <c r="AQ92" i="5"/>
  <c r="AR92" i="5" s="1"/>
  <c r="AQ84" i="5"/>
  <c r="AR84" i="5" s="1"/>
  <c r="AQ72" i="5"/>
  <c r="AR72" i="5" s="1"/>
  <c r="L47" i="24"/>
  <c r="L35" i="24"/>
  <c r="L55" i="25"/>
  <c r="L48" i="24"/>
  <c r="AF38" i="24"/>
  <c r="J38" i="24" s="1"/>
  <c r="K38" i="24" s="1"/>
  <c r="L46" i="25"/>
  <c r="L47" i="25"/>
  <c r="L46" i="24"/>
  <c r="L48" i="25"/>
  <c r="P33" i="24"/>
  <c r="Q33" i="24"/>
  <c r="AQ82" i="5"/>
  <c r="AR82" i="5" s="1"/>
  <c r="AQ98" i="5"/>
  <c r="AR98" i="5" s="1"/>
  <c r="AQ70" i="5"/>
  <c r="AR70" i="5" s="1"/>
  <c r="AQ100" i="5"/>
  <c r="AR100" i="5" s="1"/>
  <c r="AQ74" i="5"/>
  <c r="AR74" i="5" s="1"/>
  <c r="J22" i="25"/>
  <c r="K22" i="25" s="1"/>
  <c r="AC22" i="25" s="1"/>
  <c r="AF23" i="25"/>
  <c r="J23" i="25" s="1"/>
  <c r="K23" i="25" s="1"/>
  <c r="AC23" i="25" s="1"/>
  <c r="S14" i="24"/>
  <c r="AD14" i="24" s="1"/>
  <c r="S22" i="24"/>
  <c r="AD22" i="24" s="1"/>
  <c r="S13" i="24"/>
  <c r="AD13" i="24" s="1"/>
  <c r="S21" i="24"/>
  <c r="AD21" i="24" s="1"/>
  <c r="S19" i="25"/>
  <c r="AD19" i="25" s="1"/>
  <c r="L11" i="25"/>
  <c r="L11" i="24"/>
  <c r="S16" i="24"/>
  <c r="AD16" i="24" s="1"/>
  <c r="S19" i="24"/>
  <c r="AD19" i="24" s="1"/>
  <c r="AF16" i="24"/>
  <c r="T8" i="24"/>
  <c r="T11" i="24" s="1"/>
  <c r="S8" i="25"/>
  <c r="AD8" i="25" s="1"/>
  <c r="T8" i="25"/>
  <c r="K9" i="25"/>
  <c r="AC9" i="25" s="1"/>
  <c r="T9" i="25"/>
  <c r="D25" i="24"/>
  <c r="K8" i="24"/>
  <c r="P8" i="24" s="1"/>
  <c r="AF14" i="25"/>
  <c r="J14" i="25" s="1"/>
  <c r="AF20" i="24"/>
  <c r="J20" i="24" s="1"/>
  <c r="K20" i="24" s="1"/>
  <c r="AC20" i="24" s="1"/>
  <c r="AF13" i="25"/>
  <c r="J13" i="25" s="1"/>
  <c r="K13" i="25" s="1"/>
  <c r="AC13" i="25" s="1"/>
  <c r="S8" i="24"/>
  <c r="S17" i="24"/>
  <c r="AD17" i="24" s="1"/>
  <c r="AF13" i="24"/>
  <c r="J13" i="24" s="1"/>
  <c r="K13" i="24" s="1"/>
  <c r="AF19" i="24"/>
  <c r="J19" i="24" s="1"/>
  <c r="K19" i="24" s="1"/>
  <c r="AC19" i="24" s="1"/>
  <c r="AF21" i="24"/>
  <c r="J21" i="24" s="1"/>
  <c r="K21" i="24" s="1"/>
  <c r="AC21" i="24" s="1"/>
  <c r="S17" i="25"/>
  <c r="AD17" i="25" s="1"/>
  <c r="AF21" i="25"/>
  <c r="J21" i="25" s="1"/>
  <c r="K21" i="25" s="1"/>
  <c r="AC21" i="25" s="1"/>
  <c r="L25" i="24"/>
  <c r="L25" i="25"/>
  <c r="AF23" i="24"/>
  <c r="J23" i="24" s="1"/>
  <c r="K23" i="24" s="1"/>
  <c r="AC23" i="24" s="1"/>
  <c r="T25" i="25"/>
  <c r="AF20" i="25"/>
  <c r="J20" i="25" s="1"/>
  <c r="K20" i="25" s="1"/>
  <c r="AC20" i="25" s="1"/>
  <c r="D11" i="24"/>
  <c r="S18" i="24"/>
  <c r="AD18" i="24" s="1"/>
  <c r="K18" i="25"/>
  <c r="AC18" i="25" s="1"/>
  <c r="AC7" i="24"/>
  <c r="T25" i="24"/>
  <c r="S20" i="25"/>
  <c r="AD20" i="25" s="1"/>
  <c r="AF17" i="24"/>
  <c r="J17" i="24" s="1"/>
  <c r="K17" i="24" s="1"/>
  <c r="AC17" i="24" s="1"/>
  <c r="AC7" i="25"/>
  <c r="AF17" i="25"/>
  <c r="J17" i="25" s="1"/>
  <c r="K17" i="25" s="1"/>
  <c r="AC17" i="25" s="1"/>
  <c r="AF15" i="24"/>
  <c r="J15" i="24" s="1"/>
  <c r="K15" i="24" s="1"/>
  <c r="AC15" i="24" s="1"/>
  <c r="S21" i="25"/>
  <c r="AD21" i="25" s="1"/>
  <c r="S13" i="25"/>
  <c r="AD13" i="25" s="1"/>
  <c r="AF14" i="24"/>
  <c r="J14" i="24" s="1"/>
  <c r="K14" i="24" s="1"/>
  <c r="AC14" i="24" s="1"/>
  <c r="AF16" i="25"/>
  <c r="J16" i="25" s="1"/>
  <c r="K16" i="25" s="1"/>
  <c r="AC16" i="25" s="1"/>
  <c r="BB26" i="5"/>
  <c r="AQ104" i="5"/>
  <c r="AR104" i="5" s="1"/>
  <c r="AU106" i="5"/>
  <c r="AU90" i="5"/>
  <c r="AU70" i="5"/>
  <c r="AU100" i="5"/>
  <c r="AU84" i="5"/>
  <c r="AU80" i="5"/>
  <c r="AU64" i="5"/>
  <c r="AU54" i="5"/>
  <c r="AU38" i="5"/>
  <c r="AU18" i="5"/>
  <c r="AU94" i="5"/>
  <c r="AU74" i="5"/>
  <c r="AU58" i="5"/>
  <c r="AU48" i="5"/>
  <c r="AU32" i="5"/>
  <c r="AU28" i="5"/>
  <c r="AU12" i="5"/>
  <c r="AU6" i="5"/>
  <c r="AU46" i="5"/>
  <c r="AU104" i="5"/>
  <c r="AU88" i="5"/>
  <c r="AU68" i="5"/>
  <c r="AU42" i="5"/>
  <c r="AU22" i="5"/>
  <c r="AU98" i="5"/>
  <c r="AU82" i="5"/>
  <c r="AU78" i="5"/>
  <c r="AU62" i="5"/>
  <c r="AU52" i="5"/>
  <c r="AU36" i="5"/>
  <c r="AU16" i="5"/>
  <c r="AU92" i="5"/>
  <c r="AU72" i="5"/>
  <c r="AU26" i="5"/>
  <c r="AU60" i="5"/>
  <c r="AU56" i="5"/>
  <c r="AU50" i="5"/>
  <c r="AU24" i="5"/>
  <c r="AU76" i="5"/>
  <c r="AU10" i="5"/>
  <c r="AU8" i="5"/>
  <c r="AU20" i="5"/>
  <c r="AU96" i="5"/>
  <c r="AU66" i="5"/>
  <c r="AU86" i="5"/>
  <c r="AU102" i="5"/>
  <c r="AU14" i="5"/>
  <c r="AU44" i="5"/>
  <c r="AU40" i="5"/>
  <c r="AU34" i="5"/>
  <c r="AU30" i="5"/>
  <c r="AQ90" i="5"/>
  <c r="AR90" i="5" s="1"/>
  <c r="AQ76" i="5"/>
  <c r="AR76" i="5" s="1"/>
  <c r="AQ86" i="5"/>
  <c r="AR86" i="5" s="1"/>
  <c r="AQ88" i="5"/>
  <c r="AR88" i="5" s="1"/>
  <c r="AQ80" i="5"/>
  <c r="AR80" i="5" s="1"/>
  <c r="AQ96" i="5"/>
  <c r="AR96" i="5" s="1"/>
  <c r="AQ102" i="5"/>
  <c r="AR102" i="5" s="1"/>
  <c r="AQ78" i="5"/>
  <c r="AR78" i="5" s="1"/>
  <c r="AQ94" i="5"/>
  <c r="AR94" i="5" s="1"/>
  <c r="L35" i="25"/>
  <c r="AC55" i="25"/>
  <c r="M55" i="25" s="1"/>
  <c r="AC55" i="24"/>
  <c r="M55" i="24" s="1"/>
  <c r="AF24" i="25"/>
  <c r="J24" i="25" s="1"/>
  <c r="K24" i="25" s="1"/>
  <c r="AC24" i="25" s="1"/>
  <c r="S24" i="25"/>
  <c r="AD24" i="25" s="1"/>
  <c r="S22" i="25"/>
  <c r="AD22" i="25" s="1"/>
  <c r="AF19" i="25"/>
  <c r="J19" i="25" s="1"/>
  <c r="K19" i="25" s="1"/>
  <c r="AC19" i="25" s="1"/>
  <c r="S16" i="25"/>
  <c r="AD16" i="25" s="1"/>
  <c r="I45" i="25"/>
  <c r="I44" i="25"/>
  <c r="AF39" i="25"/>
  <c r="J39" i="25" s="1"/>
  <c r="K39" i="25" s="1"/>
  <c r="AF38" i="25"/>
  <c r="J38" i="25" s="1"/>
  <c r="K38" i="25" s="1"/>
  <c r="Q38" i="25" s="1"/>
  <c r="AF37" i="25"/>
  <c r="J37" i="25" s="1"/>
  <c r="K37" i="25" s="1"/>
  <c r="AC37" i="25" s="1"/>
  <c r="AD39" i="25"/>
  <c r="AD37" i="25"/>
  <c r="AC32" i="25"/>
  <c r="P32" i="25"/>
  <c r="AD32" i="25"/>
  <c r="AD33" i="25"/>
  <c r="Q31" i="25"/>
  <c r="P28" i="25"/>
  <c r="AC28" i="25"/>
  <c r="S14" i="25"/>
  <c r="AD14" i="25" s="1"/>
  <c r="S23" i="25"/>
  <c r="AD23" i="25" s="1"/>
  <c r="S18" i="25"/>
  <c r="AD18" i="25" s="1"/>
  <c r="D25" i="25"/>
  <c r="S15" i="25"/>
  <c r="AD15" i="25" s="1"/>
  <c r="AC30" i="24"/>
  <c r="S24" i="24"/>
  <c r="AD24" i="24" s="1"/>
  <c r="S15" i="24"/>
  <c r="AD15" i="24" s="1"/>
  <c r="AF39" i="24"/>
  <c r="J39" i="24" s="1"/>
  <c r="K39" i="24" s="1"/>
  <c r="Q32" i="24"/>
  <c r="AC33" i="24"/>
  <c r="AC31" i="24"/>
  <c r="P29" i="24"/>
  <c r="AC28" i="24"/>
  <c r="AF22" i="24"/>
  <c r="J22" i="24" s="1"/>
  <c r="K22" i="24" s="1"/>
  <c r="AC22" i="24" s="1"/>
  <c r="AF18" i="24"/>
  <c r="J18" i="24" s="1"/>
  <c r="K18" i="24" s="1"/>
  <c r="AC18" i="24" s="1"/>
  <c r="S23" i="24"/>
  <c r="AD23" i="24" s="1"/>
  <c r="S20" i="24"/>
  <c r="AD20" i="24" s="1"/>
  <c r="Q27" i="25"/>
  <c r="AC27" i="25"/>
  <c r="AC31" i="25"/>
  <c r="AD29" i="25"/>
  <c r="J71" i="25"/>
  <c r="K8" i="25"/>
  <c r="Q8" i="25" s="1"/>
  <c r="S9" i="25"/>
  <c r="AD9" i="25" s="1"/>
  <c r="P27" i="25"/>
  <c r="P31" i="25"/>
  <c r="H42" i="25"/>
  <c r="J68" i="25"/>
  <c r="J66" i="25"/>
  <c r="S48" i="25"/>
  <c r="D11" i="25"/>
  <c r="I43" i="25"/>
  <c r="Q31" i="24"/>
  <c r="P31" i="24"/>
  <c r="P30" i="24"/>
  <c r="Q30" i="24"/>
  <c r="AC29" i="24"/>
  <c r="AC32" i="24"/>
  <c r="Q29" i="24"/>
  <c r="P32" i="24"/>
  <c r="Q34" i="24"/>
  <c r="I44" i="24"/>
  <c r="L55" i="24"/>
  <c r="J67" i="24"/>
  <c r="K9" i="24"/>
  <c r="AC9" i="24" s="1"/>
  <c r="J16" i="24"/>
  <c r="K16" i="24" s="1"/>
  <c r="AC16" i="24" s="1"/>
  <c r="J24" i="24"/>
  <c r="K24" i="24" s="1"/>
  <c r="AC24" i="24" s="1"/>
  <c r="P28" i="24"/>
  <c r="AD38" i="24"/>
  <c r="I45" i="24"/>
  <c r="I43" i="24"/>
  <c r="Q28" i="24"/>
  <c r="AD39" i="24"/>
  <c r="S9" i="24"/>
  <c r="AD9" i="24" s="1"/>
  <c r="N48" i="19"/>
  <c r="N47" i="19"/>
  <c r="N46" i="19"/>
  <c r="N45" i="19"/>
  <c r="N44" i="19"/>
  <c r="N43" i="19"/>
  <c r="N39" i="19"/>
  <c r="N38" i="19"/>
  <c r="N37" i="19"/>
  <c r="N33" i="19"/>
  <c r="N32" i="19"/>
  <c r="N31" i="19"/>
  <c r="N30" i="19"/>
  <c r="N29" i="19"/>
  <c r="N28" i="19"/>
  <c r="N27" i="19"/>
  <c r="N46" i="18"/>
  <c r="N44" i="18"/>
  <c r="N38" i="18"/>
  <c r="N48" i="18"/>
  <c r="N47" i="18"/>
  <c r="N45" i="18"/>
  <c r="N43" i="18"/>
  <c r="N39" i="18"/>
  <c r="N37" i="18"/>
  <c r="N33" i="18"/>
  <c r="N32" i="18"/>
  <c r="N31" i="18"/>
  <c r="N30" i="18"/>
  <c r="N29" i="18"/>
  <c r="N28" i="18"/>
  <c r="N27" i="18"/>
  <c r="N48" i="9"/>
  <c r="N47" i="9"/>
  <c r="N46" i="9"/>
  <c r="AC39" i="25" l="1"/>
  <c r="P39" i="25"/>
  <c r="Q39" i="25"/>
  <c r="S50" i="24"/>
  <c r="AD46" i="24"/>
  <c r="AD29" i="24"/>
  <c r="Q30" i="25"/>
  <c r="Q35" i="25" s="1"/>
  <c r="P30" i="25"/>
  <c r="P44" i="25"/>
  <c r="AC44" i="24"/>
  <c r="Q45" i="24"/>
  <c r="AC44" i="25"/>
  <c r="K14" i="25"/>
  <c r="AC14" i="25" s="1"/>
  <c r="AC25" i="25" s="1"/>
  <c r="M25" i="25" s="1"/>
  <c r="AD27" i="24"/>
  <c r="AD28" i="25"/>
  <c r="Q44" i="24"/>
  <c r="P45" i="24"/>
  <c r="AC48" i="25"/>
  <c r="AD28" i="24"/>
  <c r="P48" i="25"/>
  <c r="AC45" i="25"/>
  <c r="AC47" i="25"/>
  <c r="P45" i="25"/>
  <c r="S49" i="25"/>
  <c r="AD48" i="25"/>
  <c r="AD33" i="24"/>
  <c r="AE48" i="24"/>
  <c r="S49" i="24"/>
  <c r="AD48" i="24"/>
  <c r="AD47" i="24"/>
  <c r="AE47" i="24"/>
  <c r="P47" i="25"/>
  <c r="AD46" i="25"/>
  <c r="AE46" i="25"/>
  <c r="AE48" i="25"/>
  <c r="AE46" i="24"/>
  <c r="AD43" i="25"/>
  <c r="AD30" i="25"/>
  <c r="L49" i="25"/>
  <c r="L57" i="25" s="1"/>
  <c r="AD32" i="24"/>
  <c r="L49" i="24"/>
  <c r="L57" i="24" s="1"/>
  <c r="K49" i="25"/>
  <c r="P46" i="25"/>
  <c r="AC46" i="25"/>
  <c r="AD30" i="24"/>
  <c r="AD8" i="24"/>
  <c r="AD11" i="24" s="1"/>
  <c r="U11" i="24" s="1"/>
  <c r="S11" i="24"/>
  <c r="P9" i="25"/>
  <c r="Q9" i="25"/>
  <c r="Q11" i="25" s="1"/>
  <c r="AC8" i="24"/>
  <c r="AC11" i="24" s="1"/>
  <c r="M11" i="24" s="1"/>
  <c r="Q8" i="24"/>
  <c r="K11" i="24"/>
  <c r="AC8" i="25"/>
  <c r="AC11" i="25" s="1"/>
  <c r="M11" i="25" s="1"/>
  <c r="P43" i="25"/>
  <c r="BB28" i="5"/>
  <c r="Q37" i="25"/>
  <c r="S25" i="25"/>
  <c r="Q43" i="25"/>
  <c r="Q49" i="25" s="1"/>
  <c r="Q55" i="25" s="1"/>
  <c r="AD41" i="25"/>
  <c r="U41" i="25" s="1"/>
  <c r="R41" i="25"/>
  <c r="AC38" i="25"/>
  <c r="AC41" i="25" s="1"/>
  <c r="M41" i="25" s="1"/>
  <c r="P38" i="25"/>
  <c r="K41" i="25"/>
  <c r="P37" i="25"/>
  <c r="AD31" i="25"/>
  <c r="S35" i="25"/>
  <c r="AD25" i="25"/>
  <c r="U25" i="25" s="1"/>
  <c r="T11" i="25"/>
  <c r="T57" i="25" s="1"/>
  <c r="AD11" i="25"/>
  <c r="U11" i="25" s="1"/>
  <c r="AD31" i="24"/>
  <c r="T57" i="24"/>
  <c r="S35" i="24"/>
  <c r="S25" i="24"/>
  <c r="AD25" i="24"/>
  <c r="U25" i="24" s="1"/>
  <c r="P9" i="24"/>
  <c r="P11" i="24" s="1"/>
  <c r="P33" i="25"/>
  <c r="S11" i="25"/>
  <c r="P29" i="25"/>
  <c r="AC29" i="25"/>
  <c r="P8" i="25"/>
  <c r="K11" i="25"/>
  <c r="K35" i="25"/>
  <c r="AD27" i="25"/>
  <c r="R35" i="25"/>
  <c r="AC33" i="25"/>
  <c r="Q38" i="24"/>
  <c r="AC38" i="24"/>
  <c r="P38" i="24"/>
  <c r="AC39" i="24"/>
  <c r="Q39" i="24"/>
  <c r="P39" i="24"/>
  <c r="Q47" i="24"/>
  <c r="P47" i="24"/>
  <c r="AC47" i="24"/>
  <c r="Q37" i="24"/>
  <c r="P37" i="24"/>
  <c r="K41" i="24"/>
  <c r="AC37" i="24"/>
  <c r="P46" i="24"/>
  <c r="Q46" i="24"/>
  <c r="AC46" i="24"/>
  <c r="K25" i="24"/>
  <c r="Q27" i="24"/>
  <c r="Q35" i="24" s="1"/>
  <c r="P27" i="24"/>
  <c r="P35" i="24" s="1"/>
  <c r="K35" i="24"/>
  <c r="R35" i="24"/>
  <c r="Q43" i="24"/>
  <c r="P43" i="24"/>
  <c r="K49" i="24"/>
  <c r="AC13" i="24"/>
  <c r="AC25" i="24" s="1"/>
  <c r="M25" i="24" s="1"/>
  <c r="Q9" i="24"/>
  <c r="Q48" i="24"/>
  <c r="P48" i="24"/>
  <c r="AD43" i="24"/>
  <c r="R41" i="24"/>
  <c r="AD37" i="24"/>
  <c r="AD41" i="24" s="1"/>
  <c r="U41" i="24" s="1"/>
  <c r="AC27" i="24"/>
  <c r="AC35" i="24" s="1"/>
  <c r="M35" i="24" s="1"/>
  <c r="N45" i="9"/>
  <c r="N44" i="9"/>
  <c r="N43" i="9"/>
  <c r="N39" i="9"/>
  <c r="N38" i="9"/>
  <c r="N37" i="9"/>
  <c r="N33" i="9"/>
  <c r="N32" i="9"/>
  <c r="Q41" i="25" l="1"/>
  <c r="K25" i="25"/>
  <c r="K57" i="25" s="1"/>
  <c r="AC49" i="25"/>
  <c r="M49" i="25" s="1"/>
  <c r="AD49" i="24"/>
  <c r="U49" i="24" s="1"/>
  <c r="AE50" i="24"/>
  <c r="U50" i="24" s="1"/>
  <c r="U58" i="24" s="1"/>
  <c r="AE50" i="25"/>
  <c r="AD49" i="25"/>
  <c r="U49" i="25" s="1"/>
  <c r="P49" i="25"/>
  <c r="P55" i="25" s="1"/>
  <c r="AD35" i="24"/>
  <c r="U35" i="24" s="1"/>
  <c r="P11" i="25"/>
  <c r="AD35" i="25"/>
  <c r="U35" i="25" s="1"/>
  <c r="Q11" i="24"/>
  <c r="BB30" i="5"/>
  <c r="AC49" i="24"/>
  <c r="M49" i="24" s="1"/>
  <c r="P41" i="25"/>
  <c r="P35" i="25"/>
  <c r="AC35" i="25"/>
  <c r="M35" i="25" s="1"/>
  <c r="S57" i="25"/>
  <c r="Q57" i="25"/>
  <c r="Q66" i="25" s="1"/>
  <c r="Q49" i="24"/>
  <c r="Q55" i="24" s="1"/>
  <c r="AC41" i="24"/>
  <c r="M41" i="24" s="1"/>
  <c r="P41" i="24"/>
  <c r="K57" i="24"/>
  <c r="S57" i="24"/>
  <c r="Q41" i="24"/>
  <c r="P49" i="24"/>
  <c r="P55" i="24" s="1"/>
  <c r="N31" i="9"/>
  <c r="N30" i="9"/>
  <c r="N29" i="9"/>
  <c r="N28" i="9"/>
  <c r="N27" i="9"/>
  <c r="AD54" i="19"/>
  <c r="AD53" i="19"/>
  <c r="AD52" i="19"/>
  <c r="L54" i="19"/>
  <c r="AC54" i="19" s="1"/>
  <c r="L53" i="19"/>
  <c r="AC53" i="19" s="1"/>
  <c r="L52" i="19"/>
  <c r="K55" i="19"/>
  <c r="AD54" i="18"/>
  <c r="AD53" i="18"/>
  <c r="AD52" i="18"/>
  <c r="AD55" i="18" s="1"/>
  <c r="L54" i="18"/>
  <c r="AC54" i="18" s="1"/>
  <c r="L53" i="18"/>
  <c r="AC53" i="18" s="1"/>
  <c r="L52" i="18"/>
  <c r="AC52" i="18" s="1"/>
  <c r="K55" i="18"/>
  <c r="U57" i="24" l="1"/>
  <c r="U70" i="24" s="1"/>
  <c r="W70" i="24" s="1"/>
  <c r="AD55" i="19"/>
  <c r="U69" i="24"/>
  <c r="W69" i="24" s="1"/>
  <c r="AX6" i="5"/>
  <c r="U50" i="25"/>
  <c r="U58" i="25" s="1"/>
  <c r="U57" i="25"/>
  <c r="U70" i="25" s="1"/>
  <c r="W70" i="25" s="1"/>
  <c r="M57" i="25"/>
  <c r="M65" i="25" s="1"/>
  <c r="W65" i="25" s="1"/>
  <c r="L55" i="19"/>
  <c r="M57" i="24"/>
  <c r="M65" i="24" s="1"/>
  <c r="W65" i="24" s="1"/>
  <c r="W66" i="25"/>
  <c r="BC31" i="5"/>
  <c r="BB32" i="5"/>
  <c r="P57" i="25"/>
  <c r="P67" i="25" s="1"/>
  <c r="Q67" i="25"/>
  <c r="Q68" i="25"/>
  <c r="Q57" i="24"/>
  <c r="Q66" i="24" s="1"/>
  <c r="P57" i="24"/>
  <c r="P67" i="24" s="1"/>
  <c r="AC55" i="18"/>
  <c r="AC52" i="19"/>
  <c r="AC55" i="19" s="1"/>
  <c r="M55" i="19" s="1"/>
  <c r="L55" i="18"/>
  <c r="L54" i="9"/>
  <c r="L53" i="9"/>
  <c r="AC53" i="9" s="1"/>
  <c r="L52" i="9"/>
  <c r="AC52" i="9" s="1"/>
  <c r="AD53" i="9"/>
  <c r="AD54" i="9"/>
  <c r="AD52" i="9"/>
  <c r="AD55" i="9" s="1"/>
  <c r="K55" i="9"/>
  <c r="G2" i="22"/>
  <c r="H2" i="22"/>
  <c r="G3" i="22"/>
  <c r="H3" i="22"/>
  <c r="U31" i="19"/>
  <c r="U30" i="19"/>
  <c r="T31" i="19"/>
  <c r="T30" i="19"/>
  <c r="M31" i="19"/>
  <c r="M30" i="19"/>
  <c r="L31" i="19"/>
  <c r="L30" i="19"/>
  <c r="F31" i="19"/>
  <c r="F30" i="19"/>
  <c r="D31" i="19"/>
  <c r="D30" i="19"/>
  <c r="U31" i="18"/>
  <c r="U30" i="18"/>
  <c r="T31" i="18"/>
  <c r="T30" i="18"/>
  <c r="M31" i="18"/>
  <c r="M30" i="18"/>
  <c r="L31" i="18"/>
  <c r="L30" i="18"/>
  <c r="F31" i="18"/>
  <c r="F30" i="18"/>
  <c r="D31" i="18"/>
  <c r="D30" i="18"/>
  <c r="U31" i="9"/>
  <c r="U30" i="9"/>
  <c r="T31" i="9"/>
  <c r="T30" i="9"/>
  <c r="R31" i="19" l="1"/>
  <c r="S31" i="19"/>
  <c r="K31" i="19"/>
  <c r="K30" i="19"/>
  <c r="S30" i="19"/>
  <c r="R30" i="19"/>
  <c r="S31" i="18"/>
  <c r="R31" i="18"/>
  <c r="K31" i="18"/>
  <c r="S30" i="18"/>
  <c r="R30" i="18"/>
  <c r="K30" i="18"/>
  <c r="U71" i="24"/>
  <c r="AT6" i="5" s="1"/>
  <c r="Q31" i="19"/>
  <c r="U69" i="25"/>
  <c r="W69" i="25" s="1"/>
  <c r="W72" i="25" s="1"/>
  <c r="O20" i="1" s="1"/>
  <c r="BK6" i="5"/>
  <c r="AY6" i="5"/>
  <c r="AX8" i="5"/>
  <c r="U71" i="25"/>
  <c r="BG6" i="5" s="1"/>
  <c r="BC6" i="5"/>
  <c r="AC30" i="19"/>
  <c r="BC58" i="5"/>
  <c r="AP6" i="5"/>
  <c r="AR6" i="5" s="1"/>
  <c r="AS6" i="5" s="1"/>
  <c r="W66" i="24"/>
  <c r="W72" i="24" s="1"/>
  <c r="AP31" i="5"/>
  <c r="AR31" i="5" s="1"/>
  <c r="W68" i="25"/>
  <c r="BC81" i="5"/>
  <c r="BB34" i="5"/>
  <c r="W67" i="25"/>
  <c r="Q68" i="24"/>
  <c r="Q67" i="24"/>
  <c r="W67" i="24" s="1"/>
  <c r="L55" i="9"/>
  <c r="AC54" i="9"/>
  <c r="AC55" i="9" s="1"/>
  <c r="M55" i="9" s="1"/>
  <c r="AD31" i="19"/>
  <c r="Q30" i="19"/>
  <c r="P30" i="19"/>
  <c r="AD31" i="18"/>
  <c r="AD30" i="18"/>
  <c r="M31" i="9"/>
  <c r="M30" i="9"/>
  <c r="L31" i="9"/>
  <c r="L30" i="9"/>
  <c r="F31" i="9"/>
  <c r="F30" i="9"/>
  <c r="D31" i="9"/>
  <c r="D30" i="9"/>
  <c r="K31" i="9" l="1"/>
  <c r="S31" i="9"/>
  <c r="R31" i="9"/>
  <c r="S30" i="9"/>
  <c r="R30" i="9"/>
  <c r="K30" i="9"/>
  <c r="W71" i="24"/>
  <c r="AX10" i="5"/>
  <c r="AY8" i="5"/>
  <c r="AS7" i="5"/>
  <c r="AS8" i="5" s="1"/>
  <c r="AS9" i="5" s="1"/>
  <c r="AS10" i="5" s="1"/>
  <c r="BK8" i="5"/>
  <c r="N20" i="1"/>
  <c r="W71" i="25"/>
  <c r="W73" i="25" s="1"/>
  <c r="AC31" i="19"/>
  <c r="AT60" i="5"/>
  <c r="AW60" i="5" s="1"/>
  <c r="AT72" i="5"/>
  <c r="AW72" i="5" s="1"/>
  <c r="AT76" i="5"/>
  <c r="AW76" i="5" s="1"/>
  <c r="AT52" i="5"/>
  <c r="AW52" i="5" s="1"/>
  <c r="AT40" i="5"/>
  <c r="AW40" i="5" s="1"/>
  <c r="AT62" i="5"/>
  <c r="AW62" i="5" s="1"/>
  <c r="AT12" i="5"/>
  <c r="AW12" i="5" s="1"/>
  <c r="AT86" i="5"/>
  <c r="AW86" i="5" s="1"/>
  <c r="AT98" i="5"/>
  <c r="AW98" i="5" s="1"/>
  <c r="AT36" i="5"/>
  <c r="AW36" i="5" s="1"/>
  <c r="AT78" i="5"/>
  <c r="AW78" i="5" s="1"/>
  <c r="AT46" i="5"/>
  <c r="AW46" i="5" s="1"/>
  <c r="AT20" i="5"/>
  <c r="AW20" i="5" s="1"/>
  <c r="AT30" i="5"/>
  <c r="AW30" i="5" s="1"/>
  <c r="AT56" i="5"/>
  <c r="AW56" i="5" s="1"/>
  <c r="AT66" i="5"/>
  <c r="AW66" i="5" s="1"/>
  <c r="AT106" i="5"/>
  <c r="AW106" i="5" s="1"/>
  <c r="AT14" i="5"/>
  <c r="AW14" i="5" s="1"/>
  <c r="AT28" i="5"/>
  <c r="AW28" i="5" s="1"/>
  <c r="AT104" i="5"/>
  <c r="AW104" i="5" s="1"/>
  <c r="AT54" i="5"/>
  <c r="AW54" i="5" s="1"/>
  <c r="AT24" i="5"/>
  <c r="AW24" i="5" s="1"/>
  <c r="AT50" i="5"/>
  <c r="AW50" i="5" s="1"/>
  <c r="AT32" i="5"/>
  <c r="AW32" i="5" s="1"/>
  <c r="AT64" i="5"/>
  <c r="AW64" i="5" s="1"/>
  <c r="AT34" i="5"/>
  <c r="AW34" i="5" s="1"/>
  <c r="AT92" i="5"/>
  <c r="AW92" i="5" s="1"/>
  <c r="AT48" i="5"/>
  <c r="AW48" i="5" s="1"/>
  <c r="AT80" i="5"/>
  <c r="AW80" i="5" s="1"/>
  <c r="AT8" i="5"/>
  <c r="AW8" i="5" s="1"/>
  <c r="AT102" i="5"/>
  <c r="AW102" i="5" s="1"/>
  <c r="AT58" i="5"/>
  <c r="AW58" i="5" s="1"/>
  <c r="AT84" i="5"/>
  <c r="AW84" i="5" s="1"/>
  <c r="AT16" i="5"/>
  <c r="AW16" i="5" s="1"/>
  <c r="AT82" i="5"/>
  <c r="AW82" i="5" s="1"/>
  <c r="AT22" i="5"/>
  <c r="AW22" i="5" s="1"/>
  <c r="AT74" i="5"/>
  <c r="AW74" i="5" s="1"/>
  <c r="AT100" i="5"/>
  <c r="AW100" i="5" s="1"/>
  <c r="AT26" i="5"/>
  <c r="AW26" i="5" s="1"/>
  <c r="AT42" i="5"/>
  <c r="AW42" i="5" s="1"/>
  <c r="AT94" i="5"/>
  <c r="AW94" i="5" s="1"/>
  <c r="AT44" i="5"/>
  <c r="AW44" i="5" s="1"/>
  <c r="AT10" i="5"/>
  <c r="AW10" i="5" s="1"/>
  <c r="AT38" i="5"/>
  <c r="AW38" i="5" s="1"/>
  <c r="AT96" i="5"/>
  <c r="AW96" i="5" s="1"/>
  <c r="AT68" i="5"/>
  <c r="AW68" i="5" s="1"/>
  <c r="AT18" i="5"/>
  <c r="AW18" i="5" s="1"/>
  <c r="AT70" i="5"/>
  <c r="AW70" i="5" s="1"/>
  <c r="AT88" i="5"/>
  <c r="AW88" i="5" s="1"/>
  <c r="AT90" i="5"/>
  <c r="AW90" i="5" s="1"/>
  <c r="AW6" i="5"/>
  <c r="W68" i="24"/>
  <c r="AP81" i="5"/>
  <c r="AR81" i="5" s="1"/>
  <c r="AP58" i="5"/>
  <c r="AR58" i="5" s="1"/>
  <c r="BG22" i="5"/>
  <c r="BG42" i="5"/>
  <c r="BG16" i="5"/>
  <c r="BG74" i="5"/>
  <c r="BG96" i="5"/>
  <c r="BG58" i="5"/>
  <c r="BG32" i="5"/>
  <c r="BG12" i="5"/>
  <c r="BG104" i="5"/>
  <c r="BG102" i="5"/>
  <c r="BG76" i="5"/>
  <c r="BG106" i="5"/>
  <c r="BG100" i="5"/>
  <c r="BG88" i="5"/>
  <c r="BG98" i="5"/>
  <c r="BG68" i="5"/>
  <c r="BG86" i="5"/>
  <c r="BG60" i="5"/>
  <c r="BG90" i="5"/>
  <c r="BG84" i="5"/>
  <c r="BG82" i="5"/>
  <c r="BG92" i="5"/>
  <c r="BG66" i="5"/>
  <c r="BG50" i="5"/>
  <c r="BG70" i="5"/>
  <c r="BG80" i="5"/>
  <c r="BG78" i="5"/>
  <c r="BG72" i="5"/>
  <c r="BG56" i="5"/>
  <c r="BG34" i="5"/>
  <c r="BG44" i="5"/>
  <c r="BG64" i="5"/>
  <c r="BG36" i="5"/>
  <c r="BG62" i="5"/>
  <c r="BG46" i="5"/>
  <c r="BG40" i="5"/>
  <c r="BG30" i="5"/>
  <c r="BG24" i="5"/>
  <c r="BG54" i="5"/>
  <c r="BG28" i="5"/>
  <c r="BG48" i="5"/>
  <c r="BG18" i="5"/>
  <c r="BG52" i="5"/>
  <c r="BG26" i="5"/>
  <c r="BG20" i="5"/>
  <c r="BG14" i="5"/>
  <c r="BG8" i="5"/>
  <c r="BG38" i="5"/>
  <c r="BG10" i="5"/>
  <c r="BG94" i="5"/>
  <c r="BB36" i="5"/>
  <c r="P31" i="18"/>
  <c r="AC31" i="18"/>
  <c r="Q30" i="18"/>
  <c r="AC30" i="18"/>
  <c r="AC30" i="9"/>
  <c r="AC31" i="9"/>
  <c r="P30" i="18"/>
  <c r="AD30" i="19"/>
  <c r="P31" i="19"/>
  <c r="Q31" i="18"/>
  <c r="P30" i="9"/>
  <c r="Q30" i="9"/>
  <c r="Q31" i="9"/>
  <c r="P31" i="9"/>
  <c r="AE105" i="5"/>
  <c r="R105" i="5"/>
  <c r="E105" i="5"/>
  <c r="AE103" i="5"/>
  <c r="R103" i="5"/>
  <c r="E103" i="5"/>
  <c r="AE101" i="5"/>
  <c r="R101" i="5"/>
  <c r="E101" i="5"/>
  <c r="AE99" i="5"/>
  <c r="R99" i="5"/>
  <c r="E99" i="5"/>
  <c r="AE97" i="5"/>
  <c r="R97" i="5"/>
  <c r="E97" i="5"/>
  <c r="AE95" i="5"/>
  <c r="R95" i="5"/>
  <c r="E95" i="5"/>
  <c r="AE93" i="5"/>
  <c r="R93" i="5"/>
  <c r="E93" i="5"/>
  <c r="AE91" i="5"/>
  <c r="R91" i="5"/>
  <c r="E91" i="5"/>
  <c r="AE89" i="5"/>
  <c r="R89" i="5"/>
  <c r="E89" i="5"/>
  <c r="AE87" i="5"/>
  <c r="R87" i="5"/>
  <c r="E87" i="5"/>
  <c r="AE85" i="5"/>
  <c r="R85" i="5"/>
  <c r="E85" i="5"/>
  <c r="AE83" i="5"/>
  <c r="R83" i="5"/>
  <c r="E83" i="5"/>
  <c r="AE79" i="5"/>
  <c r="R79" i="5"/>
  <c r="E79" i="5"/>
  <c r="AE77" i="5"/>
  <c r="R77" i="5"/>
  <c r="E77" i="5"/>
  <c r="AE75" i="5"/>
  <c r="R75" i="5"/>
  <c r="E75" i="5"/>
  <c r="AE73" i="5"/>
  <c r="R73" i="5"/>
  <c r="E73" i="5"/>
  <c r="AE71" i="5"/>
  <c r="R71" i="5"/>
  <c r="E71" i="5"/>
  <c r="AE69" i="5"/>
  <c r="R69" i="5"/>
  <c r="E69" i="5"/>
  <c r="AE67" i="5"/>
  <c r="R67" i="5"/>
  <c r="E67" i="5"/>
  <c r="AE65" i="5"/>
  <c r="R65" i="5"/>
  <c r="E65" i="5"/>
  <c r="AE63" i="5"/>
  <c r="R63" i="5"/>
  <c r="E63" i="5"/>
  <c r="AE61" i="5"/>
  <c r="R61" i="5"/>
  <c r="E61" i="5"/>
  <c r="AE59" i="5"/>
  <c r="R59" i="5"/>
  <c r="E59" i="5"/>
  <c r="AE57" i="5"/>
  <c r="R57" i="5"/>
  <c r="E57" i="5"/>
  <c r="AE55" i="5"/>
  <c r="R55" i="5"/>
  <c r="E55" i="5"/>
  <c r="AE53" i="5"/>
  <c r="R53" i="5"/>
  <c r="E53" i="5"/>
  <c r="AE51" i="5"/>
  <c r="R51" i="5"/>
  <c r="E51" i="5"/>
  <c r="AE49" i="5"/>
  <c r="R49" i="5"/>
  <c r="E49" i="5"/>
  <c r="AE47" i="5"/>
  <c r="R47" i="5"/>
  <c r="E47" i="5"/>
  <c r="AE45" i="5"/>
  <c r="R45" i="5"/>
  <c r="E45" i="5"/>
  <c r="AE43" i="5"/>
  <c r="R43" i="5"/>
  <c r="E43" i="5"/>
  <c r="AE41" i="5"/>
  <c r="R41" i="5"/>
  <c r="E41" i="5"/>
  <c r="AE39" i="5"/>
  <c r="R39" i="5"/>
  <c r="E39" i="5"/>
  <c r="AE37" i="5"/>
  <c r="R37" i="5"/>
  <c r="E37" i="5"/>
  <c r="AE35" i="5"/>
  <c r="R35" i="5"/>
  <c r="E35" i="5"/>
  <c r="AE33" i="5"/>
  <c r="R33" i="5"/>
  <c r="E33" i="5"/>
  <c r="AE29" i="5"/>
  <c r="R29" i="5"/>
  <c r="E29" i="5"/>
  <c r="AE27" i="5"/>
  <c r="R27" i="5"/>
  <c r="E27" i="5"/>
  <c r="AE25" i="5"/>
  <c r="R25" i="5"/>
  <c r="E25" i="5"/>
  <c r="AE23" i="5"/>
  <c r="R23" i="5"/>
  <c r="E23" i="5"/>
  <c r="AE21" i="5"/>
  <c r="R21" i="5"/>
  <c r="E21" i="5"/>
  <c r="AE19" i="5"/>
  <c r="R19" i="5"/>
  <c r="E19" i="5"/>
  <c r="AE17" i="5"/>
  <c r="R17" i="5"/>
  <c r="E17" i="5"/>
  <c r="AE15" i="5"/>
  <c r="R15" i="5"/>
  <c r="E15" i="5"/>
  <c r="AE13" i="5"/>
  <c r="R13" i="5"/>
  <c r="E13" i="5"/>
  <c r="AE11" i="5"/>
  <c r="R11" i="5"/>
  <c r="E11" i="5"/>
  <c r="AE9" i="5"/>
  <c r="R9" i="5"/>
  <c r="E9" i="5"/>
  <c r="AB8" i="5"/>
  <c r="AB10" i="5" s="1"/>
  <c r="AB12" i="5" s="1"/>
  <c r="AB14" i="5" s="1"/>
  <c r="AB16" i="5" s="1"/>
  <c r="AB18" i="5" s="1"/>
  <c r="AB20" i="5" s="1"/>
  <c r="AB22" i="5" s="1"/>
  <c r="AB24" i="5" s="1"/>
  <c r="AB26" i="5" s="1"/>
  <c r="AB28" i="5" s="1"/>
  <c r="AB30" i="5" s="1"/>
  <c r="AB32" i="5" s="1"/>
  <c r="AB34" i="5" s="1"/>
  <c r="AB36" i="5" s="1"/>
  <c r="AB38" i="5" s="1"/>
  <c r="AB40" i="5" s="1"/>
  <c r="AB42" i="5" s="1"/>
  <c r="AB44" i="5" s="1"/>
  <c r="AB46" i="5" s="1"/>
  <c r="AB48" i="5" s="1"/>
  <c r="AB50" i="5" s="1"/>
  <c r="AB52" i="5" s="1"/>
  <c r="AB54" i="5" s="1"/>
  <c r="AB56" i="5" s="1"/>
  <c r="AB58" i="5" s="1"/>
  <c r="AB60" i="5" s="1"/>
  <c r="AB62" i="5" s="1"/>
  <c r="AB64" i="5" s="1"/>
  <c r="AB66" i="5" s="1"/>
  <c r="AB68" i="5" s="1"/>
  <c r="AB70" i="5" s="1"/>
  <c r="AB72" i="5" s="1"/>
  <c r="AB74" i="5" s="1"/>
  <c r="AB76" i="5" s="1"/>
  <c r="AB78" i="5" s="1"/>
  <c r="AB80" i="5" s="1"/>
  <c r="AB82" i="5" s="1"/>
  <c r="AB84" i="5" s="1"/>
  <c r="AB86" i="5" s="1"/>
  <c r="AB88" i="5" s="1"/>
  <c r="AB90" i="5" s="1"/>
  <c r="AB92" i="5" s="1"/>
  <c r="AB94" i="5" s="1"/>
  <c r="AB96" i="5" s="1"/>
  <c r="AB98" i="5" s="1"/>
  <c r="AB100" i="5" s="1"/>
  <c r="AB102" i="5" s="1"/>
  <c r="AB104" i="5" s="1"/>
  <c r="AB106" i="5" s="1"/>
  <c r="O8" i="5"/>
  <c r="O10" i="5" s="1"/>
  <c r="O12" i="5" s="1"/>
  <c r="O14" i="5" s="1"/>
  <c r="O16" i="5" s="1"/>
  <c r="O18" i="5" s="1"/>
  <c r="O20" i="5" s="1"/>
  <c r="O22" i="5" s="1"/>
  <c r="O24" i="5" s="1"/>
  <c r="O26" i="5" s="1"/>
  <c r="O28" i="5" s="1"/>
  <c r="O30" i="5" s="1"/>
  <c r="O32" i="5" s="1"/>
  <c r="O34" i="5" s="1"/>
  <c r="O36" i="5" s="1"/>
  <c r="O38" i="5" s="1"/>
  <c r="O40" i="5" s="1"/>
  <c r="O42" i="5" s="1"/>
  <c r="O44" i="5" s="1"/>
  <c r="O46" i="5" s="1"/>
  <c r="O48" i="5" s="1"/>
  <c r="O50" i="5" s="1"/>
  <c r="O52" i="5" s="1"/>
  <c r="O54" i="5" s="1"/>
  <c r="O56" i="5" s="1"/>
  <c r="O58" i="5" s="1"/>
  <c r="O60" i="5" s="1"/>
  <c r="O62" i="5" s="1"/>
  <c r="O64" i="5" s="1"/>
  <c r="O66" i="5" s="1"/>
  <c r="O68" i="5" s="1"/>
  <c r="O70" i="5" s="1"/>
  <c r="O72" i="5" s="1"/>
  <c r="O74" i="5" s="1"/>
  <c r="O76" i="5" s="1"/>
  <c r="O78" i="5" s="1"/>
  <c r="O80" i="5" s="1"/>
  <c r="O82" i="5" s="1"/>
  <c r="O84" i="5" s="1"/>
  <c r="O86" i="5" s="1"/>
  <c r="O88" i="5" s="1"/>
  <c r="O90" i="5" s="1"/>
  <c r="O92" i="5" s="1"/>
  <c r="O94" i="5" s="1"/>
  <c r="O96" i="5" s="1"/>
  <c r="O98" i="5" s="1"/>
  <c r="O100" i="5" s="1"/>
  <c r="O102" i="5" s="1"/>
  <c r="O104" i="5" s="1"/>
  <c r="O106" i="5" s="1"/>
  <c r="B8" i="5"/>
  <c r="B10" i="5" s="1"/>
  <c r="B12" i="5" s="1"/>
  <c r="B14" i="5" s="1"/>
  <c r="B16" i="5" s="1"/>
  <c r="B18" i="5" s="1"/>
  <c r="B20" i="5" s="1"/>
  <c r="B22" i="5" s="1"/>
  <c r="B24" i="5" s="1"/>
  <c r="B26" i="5" s="1"/>
  <c r="B28" i="5" s="1"/>
  <c r="B30" i="5" s="1"/>
  <c r="B32" i="5" s="1"/>
  <c r="B34" i="5" s="1"/>
  <c r="B36" i="5" s="1"/>
  <c r="B38" i="5" s="1"/>
  <c r="B40" i="5" s="1"/>
  <c r="B42" i="5" s="1"/>
  <c r="B44" i="5" s="1"/>
  <c r="B46" i="5" s="1"/>
  <c r="B48" i="5" s="1"/>
  <c r="B50" i="5" s="1"/>
  <c r="B52" i="5" s="1"/>
  <c r="B54" i="5" s="1"/>
  <c r="B56" i="5" s="1"/>
  <c r="B58" i="5" s="1"/>
  <c r="B60" i="5" s="1"/>
  <c r="B62" i="5" s="1"/>
  <c r="B64" i="5" s="1"/>
  <c r="B66" i="5" s="1"/>
  <c r="B68" i="5" s="1"/>
  <c r="B70" i="5" s="1"/>
  <c r="B72" i="5" s="1"/>
  <c r="B74" i="5" s="1"/>
  <c r="B76" i="5" s="1"/>
  <c r="B78" i="5" s="1"/>
  <c r="B80" i="5" s="1"/>
  <c r="B82" i="5" s="1"/>
  <c r="B84" i="5" s="1"/>
  <c r="B86" i="5" s="1"/>
  <c r="B88" i="5" s="1"/>
  <c r="B90" i="5" s="1"/>
  <c r="B92" i="5" s="1"/>
  <c r="B94" i="5" s="1"/>
  <c r="B96" i="5" s="1"/>
  <c r="B98" i="5" s="1"/>
  <c r="B100" i="5" s="1"/>
  <c r="B102" i="5" s="1"/>
  <c r="B104" i="5" s="1"/>
  <c r="B106" i="5" s="1"/>
  <c r="A8" i="5"/>
  <c r="A10" i="5" s="1"/>
  <c r="A12" i="5" s="1"/>
  <c r="A14" i="5" s="1"/>
  <c r="A16" i="5" s="1"/>
  <c r="A18" i="5" s="1"/>
  <c r="A20" i="5" s="1"/>
  <c r="A22" i="5" s="1"/>
  <c r="A24" i="5" s="1"/>
  <c r="A26" i="5" s="1"/>
  <c r="A28" i="5" s="1"/>
  <c r="A30" i="5" s="1"/>
  <c r="AE7" i="5"/>
  <c r="R7" i="5"/>
  <c r="E7" i="5"/>
  <c r="M3" i="5"/>
  <c r="D73" i="19"/>
  <c r="D63" i="19"/>
  <c r="D62" i="19"/>
  <c r="J69" i="19" s="1"/>
  <c r="U48" i="19"/>
  <c r="M48" i="19"/>
  <c r="G48" i="19"/>
  <c r="L48" i="19" s="1"/>
  <c r="D48" i="19"/>
  <c r="U47" i="19"/>
  <c r="M47" i="19"/>
  <c r="G47" i="19"/>
  <c r="L47" i="19" s="1"/>
  <c r="D47" i="19"/>
  <c r="U46" i="19"/>
  <c r="M46" i="19"/>
  <c r="G46" i="19"/>
  <c r="D46" i="19"/>
  <c r="U45" i="19"/>
  <c r="T45" i="19"/>
  <c r="M45" i="19"/>
  <c r="L45" i="19"/>
  <c r="H45" i="19"/>
  <c r="G45" i="19"/>
  <c r="I45" i="19" s="1"/>
  <c r="D45" i="19"/>
  <c r="U44" i="19"/>
  <c r="T44" i="19"/>
  <c r="M44" i="19"/>
  <c r="L44" i="19"/>
  <c r="H44" i="19"/>
  <c r="G44" i="19"/>
  <c r="D44" i="19"/>
  <c r="U43" i="19"/>
  <c r="T43" i="19"/>
  <c r="M43" i="19"/>
  <c r="L43" i="19"/>
  <c r="H43" i="19"/>
  <c r="G43" i="19"/>
  <c r="H42" i="19" s="1"/>
  <c r="D43" i="19"/>
  <c r="S41" i="19"/>
  <c r="U39" i="19"/>
  <c r="T39" i="19"/>
  <c r="M39" i="19"/>
  <c r="L39" i="19"/>
  <c r="I39" i="19"/>
  <c r="G39" i="19"/>
  <c r="F39" i="19"/>
  <c r="D39" i="19"/>
  <c r="R39" i="19" s="1"/>
  <c r="U38" i="19"/>
  <c r="T38" i="19"/>
  <c r="M38" i="19"/>
  <c r="L38" i="19"/>
  <c r="I38" i="19"/>
  <c r="G38" i="19"/>
  <c r="F38" i="19"/>
  <c r="D38" i="19"/>
  <c r="R38" i="19" s="1"/>
  <c r="U37" i="19"/>
  <c r="T37" i="19"/>
  <c r="M37" i="19"/>
  <c r="L37" i="19"/>
  <c r="I37" i="19"/>
  <c r="G37" i="19"/>
  <c r="F37" i="19"/>
  <c r="D37" i="19"/>
  <c r="R37" i="19" s="1"/>
  <c r="U34" i="19"/>
  <c r="M34" i="19"/>
  <c r="Q34" i="19" s="1"/>
  <c r="U33" i="19"/>
  <c r="T33" i="19"/>
  <c r="M33" i="19"/>
  <c r="L33" i="19"/>
  <c r="F33" i="19"/>
  <c r="S33" i="19" s="1"/>
  <c r="D33" i="19"/>
  <c r="U32" i="19"/>
  <c r="T32" i="19"/>
  <c r="M32" i="19"/>
  <c r="L32" i="19"/>
  <c r="F32" i="19"/>
  <c r="U29" i="19"/>
  <c r="T29" i="19"/>
  <c r="M29" i="19"/>
  <c r="L29" i="19"/>
  <c r="F29" i="19"/>
  <c r="D29" i="19"/>
  <c r="U28" i="19"/>
  <c r="T28" i="19"/>
  <c r="M28" i="19"/>
  <c r="L28" i="19"/>
  <c r="F28" i="19"/>
  <c r="D28" i="19"/>
  <c r="U27" i="19"/>
  <c r="T27" i="19"/>
  <c r="M27" i="19"/>
  <c r="L27" i="19"/>
  <c r="F27" i="19"/>
  <c r="D27" i="19"/>
  <c r="U24" i="19"/>
  <c r="T24" i="19"/>
  <c r="M24" i="19"/>
  <c r="L24" i="19"/>
  <c r="I24" i="19"/>
  <c r="H24" i="19"/>
  <c r="G24" i="19"/>
  <c r="F24" i="19"/>
  <c r="D24" i="19"/>
  <c r="U23" i="19"/>
  <c r="T23" i="19"/>
  <c r="M23" i="19"/>
  <c r="L23" i="19"/>
  <c r="I23" i="19"/>
  <c r="H23" i="19"/>
  <c r="G23" i="19"/>
  <c r="F23" i="19"/>
  <c r="D23" i="19"/>
  <c r="U22" i="19"/>
  <c r="T22" i="19"/>
  <c r="M22" i="19"/>
  <c r="L22" i="19"/>
  <c r="I22" i="19"/>
  <c r="H22" i="19"/>
  <c r="G22" i="19"/>
  <c r="F22" i="19"/>
  <c r="D22" i="19"/>
  <c r="U21" i="19"/>
  <c r="T21" i="19"/>
  <c r="M21" i="19"/>
  <c r="L21" i="19"/>
  <c r="I21" i="19"/>
  <c r="H21" i="19"/>
  <c r="G21" i="19"/>
  <c r="F21" i="19"/>
  <c r="D21" i="19"/>
  <c r="U20" i="19"/>
  <c r="T20" i="19"/>
  <c r="M20" i="19"/>
  <c r="L20" i="19"/>
  <c r="I20" i="19"/>
  <c r="H20" i="19"/>
  <c r="G20" i="19"/>
  <c r="F20" i="19"/>
  <c r="D20" i="19"/>
  <c r="U19" i="19"/>
  <c r="T19" i="19"/>
  <c r="M19" i="19"/>
  <c r="L19" i="19"/>
  <c r="I19" i="19"/>
  <c r="H19" i="19"/>
  <c r="G19" i="19"/>
  <c r="F19" i="19"/>
  <c r="D19" i="19"/>
  <c r="U18" i="19"/>
  <c r="T18" i="19"/>
  <c r="M18" i="19"/>
  <c r="L18" i="19"/>
  <c r="I18" i="19"/>
  <c r="H18" i="19"/>
  <c r="G18" i="19"/>
  <c r="F18" i="19"/>
  <c r="D18" i="19"/>
  <c r="U17" i="19"/>
  <c r="T17" i="19"/>
  <c r="M17" i="19"/>
  <c r="L17" i="19"/>
  <c r="I17" i="19"/>
  <c r="H17" i="19"/>
  <c r="G17" i="19"/>
  <c r="F17" i="19"/>
  <c r="D17" i="19"/>
  <c r="U16" i="19"/>
  <c r="T16" i="19"/>
  <c r="M16" i="19"/>
  <c r="L16" i="19"/>
  <c r="I16" i="19"/>
  <c r="H16" i="19"/>
  <c r="G16" i="19"/>
  <c r="F16" i="19"/>
  <c r="D16" i="19"/>
  <c r="U15" i="19"/>
  <c r="T15" i="19"/>
  <c r="M15" i="19"/>
  <c r="L15" i="19"/>
  <c r="I15" i="19"/>
  <c r="H15" i="19"/>
  <c r="G15" i="19"/>
  <c r="F15" i="19"/>
  <c r="D15" i="19"/>
  <c r="U14" i="19"/>
  <c r="T14" i="19"/>
  <c r="M14" i="19"/>
  <c r="L14" i="19"/>
  <c r="I14" i="19"/>
  <c r="H14" i="19"/>
  <c r="G14" i="19"/>
  <c r="F14" i="19"/>
  <c r="D14" i="19"/>
  <c r="U13" i="19"/>
  <c r="T13" i="19"/>
  <c r="M13" i="19"/>
  <c r="L13" i="19"/>
  <c r="I13" i="19"/>
  <c r="H13" i="19"/>
  <c r="G13" i="19"/>
  <c r="F13" i="19"/>
  <c r="D13" i="19"/>
  <c r="U9" i="19"/>
  <c r="M9" i="19"/>
  <c r="L9" i="19"/>
  <c r="D9" i="19"/>
  <c r="R9" i="19" s="1"/>
  <c r="U8" i="19"/>
  <c r="M8" i="19"/>
  <c r="L8" i="19"/>
  <c r="D8" i="19"/>
  <c r="R8" i="19" s="1"/>
  <c r="AD7" i="19"/>
  <c r="M7" i="19"/>
  <c r="L7" i="19"/>
  <c r="D7" i="19"/>
  <c r="G1" i="19"/>
  <c r="AB1" i="5" s="1"/>
  <c r="AM3" i="5" s="1"/>
  <c r="F1" i="19"/>
  <c r="D73" i="18"/>
  <c r="D63" i="18"/>
  <c r="D62" i="18"/>
  <c r="U48" i="18"/>
  <c r="M48" i="18"/>
  <c r="G48" i="18"/>
  <c r="L48" i="18" s="1"/>
  <c r="D48" i="18"/>
  <c r="U47" i="18"/>
  <c r="M47" i="18"/>
  <c r="G47" i="18"/>
  <c r="L47" i="18" s="1"/>
  <c r="D47" i="18"/>
  <c r="U46" i="18"/>
  <c r="M46" i="18"/>
  <c r="G46" i="18"/>
  <c r="L46" i="18" s="1"/>
  <c r="D46" i="18"/>
  <c r="U45" i="18"/>
  <c r="T45" i="18"/>
  <c r="M45" i="18"/>
  <c r="L45" i="18"/>
  <c r="H45" i="18"/>
  <c r="G45" i="18"/>
  <c r="D45" i="18"/>
  <c r="J45" i="18" s="1"/>
  <c r="U44" i="18"/>
  <c r="T44" i="18"/>
  <c r="M44" i="18"/>
  <c r="L44" i="18"/>
  <c r="H44" i="18"/>
  <c r="G44" i="18"/>
  <c r="D44" i="18"/>
  <c r="J44" i="18" s="1"/>
  <c r="U43" i="18"/>
  <c r="T43" i="18"/>
  <c r="M43" i="18"/>
  <c r="L43" i="18"/>
  <c r="H43" i="18"/>
  <c r="G43" i="18"/>
  <c r="H42" i="18" s="1"/>
  <c r="D43" i="18"/>
  <c r="J43" i="18" s="1"/>
  <c r="S41" i="18"/>
  <c r="U39" i="18"/>
  <c r="T39" i="18"/>
  <c r="M39" i="18"/>
  <c r="L39" i="18"/>
  <c r="I39" i="18"/>
  <c r="G39" i="18"/>
  <c r="F39" i="18"/>
  <c r="D39" i="18"/>
  <c r="R39" i="18" s="1"/>
  <c r="U38" i="18"/>
  <c r="T38" i="18"/>
  <c r="M38" i="18"/>
  <c r="L38" i="18"/>
  <c r="I38" i="18"/>
  <c r="G38" i="18"/>
  <c r="F38" i="18"/>
  <c r="D38" i="18"/>
  <c r="R38" i="18" s="1"/>
  <c r="U37" i="18"/>
  <c r="T37" i="18"/>
  <c r="M37" i="18"/>
  <c r="L37" i="18"/>
  <c r="I37" i="18"/>
  <c r="G37" i="18"/>
  <c r="F37" i="18"/>
  <c r="D37" i="18"/>
  <c r="U34" i="18"/>
  <c r="M34" i="18"/>
  <c r="U33" i="18"/>
  <c r="T33" i="18"/>
  <c r="M33" i="18"/>
  <c r="L33" i="18"/>
  <c r="F33" i="18"/>
  <c r="D33" i="18"/>
  <c r="K33" i="18" s="1"/>
  <c r="U32" i="18"/>
  <c r="T32" i="18"/>
  <c r="M32" i="18"/>
  <c r="L32" i="18"/>
  <c r="F32" i="18"/>
  <c r="U29" i="18"/>
  <c r="T29" i="18"/>
  <c r="M29" i="18"/>
  <c r="L29" i="18"/>
  <c r="F29" i="18"/>
  <c r="D29" i="18"/>
  <c r="U28" i="18"/>
  <c r="T28" i="18"/>
  <c r="M28" i="18"/>
  <c r="L28" i="18"/>
  <c r="F28" i="18"/>
  <c r="D28" i="18"/>
  <c r="U27" i="18"/>
  <c r="T27" i="18"/>
  <c r="M27" i="18"/>
  <c r="L27" i="18"/>
  <c r="F27" i="18"/>
  <c r="D27" i="18"/>
  <c r="U24" i="18"/>
  <c r="T24" i="18"/>
  <c r="M24" i="18"/>
  <c r="L24" i="18"/>
  <c r="I24" i="18"/>
  <c r="H24" i="18"/>
  <c r="G24" i="18"/>
  <c r="F24" i="18"/>
  <c r="D24" i="18"/>
  <c r="U23" i="18"/>
  <c r="T23" i="18"/>
  <c r="M23" i="18"/>
  <c r="L23" i="18"/>
  <c r="I23" i="18"/>
  <c r="H23" i="18"/>
  <c r="G23" i="18"/>
  <c r="F23" i="18"/>
  <c r="D23" i="18"/>
  <c r="U22" i="18"/>
  <c r="T22" i="18"/>
  <c r="M22" i="18"/>
  <c r="L22" i="18"/>
  <c r="I22" i="18"/>
  <c r="H22" i="18"/>
  <c r="G22" i="18"/>
  <c r="R22" i="18" s="1"/>
  <c r="F22" i="18"/>
  <c r="D22" i="18"/>
  <c r="U21" i="18"/>
  <c r="T21" i="18"/>
  <c r="M21" i="18"/>
  <c r="L21" i="18"/>
  <c r="I21" i="18"/>
  <c r="H21" i="18"/>
  <c r="G21" i="18"/>
  <c r="F21" i="18"/>
  <c r="D21" i="18"/>
  <c r="U20" i="18"/>
  <c r="T20" i="18"/>
  <c r="M20" i="18"/>
  <c r="L20" i="18"/>
  <c r="I20" i="18"/>
  <c r="H20" i="18"/>
  <c r="G20" i="18"/>
  <c r="F20" i="18"/>
  <c r="D20" i="18"/>
  <c r="U19" i="18"/>
  <c r="T19" i="18"/>
  <c r="M19" i="18"/>
  <c r="L19" i="18"/>
  <c r="I19" i="18"/>
  <c r="H19" i="18"/>
  <c r="G19" i="18"/>
  <c r="F19" i="18"/>
  <c r="D19" i="18"/>
  <c r="U18" i="18"/>
  <c r="T18" i="18"/>
  <c r="M18" i="18"/>
  <c r="L18" i="18"/>
  <c r="I18" i="18"/>
  <c r="H18" i="18"/>
  <c r="G18" i="18"/>
  <c r="F18" i="18"/>
  <c r="D18" i="18"/>
  <c r="U17" i="18"/>
  <c r="T17" i="18"/>
  <c r="M17" i="18"/>
  <c r="L17" i="18"/>
  <c r="I17" i="18"/>
  <c r="H17" i="18"/>
  <c r="G17" i="18"/>
  <c r="F17" i="18"/>
  <c r="D17" i="18"/>
  <c r="U16" i="18"/>
  <c r="T16" i="18"/>
  <c r="M16" i="18"/>
  <c r="L16" i="18"/>
  <c r="I16" i="18"/>
  <c r="H16" i="18"/>
  <c r="G16" i="18"/>
  <c r="F16" i="18"/>
  <c r="D16" i="18"/>
  <c r="U15" i="18"/>
  <c r="T15" i="18"/>
  <c r="M15" i="18"/>
  <c r="L15" i="18"/>
  <c r="I15" i="18"/>
  <c r="H15" i="18"/>
  <c r="G15" i="18"/>
  <c r="F15" i="18"/>
  <c r="D15" i="18"/>
  <c r="U14" i="18"/>
  <c r="T14" i="18"/>
  <c r="M14" i="18"/>
  <c r="L14" i="18"/>
  <c r="I14" i="18"/>
  <c r="H14" i="18"/>
  <c r="G14" i="18"/>
  <c r="R14" i="18" s="1"/>
  <c r="F14" i="18"/>
  <c r="D14" i="18"/>
  <c r="U13" i="18"/>
  <c r="T13" i="18"/>
  <c r="M13" i="18"/>
  <c r="L13" i="18"/>
  <c r="I13" i="18"/>
  <c r="H13" i="18"/>
  <c r="G13" i="18"/>
  <c r="R13" i="18" s="1"/>
  <c r="F13" i="18"/>
  <c r="D13" i="18"/>
  <c r="U9" i="18"/>
  <c r="M9" i="18"/>
  <c r="L9" i="18"/>
  <c r="D9" i="18"/>
  <c r="R9" i="18" s="1"/>
  <c r="U8" i="18"/>
  <c r="M8" i="18"/>
  <c r="L8" i="18"/>
  <c r="D8" i="18"/>
  <c r="AD7" i="18"/>
  <c r="M7" i="18"/>
  <c r="L7" i="18"/>
  <c r="D7" i="18"/>
  <c r="G1" i="18"/>
  <c r="O1" i="5" s="1"/>
  <c r="Z3" i="5" s="1"/>
  <c r="F1" i="18"/>
  <c r="D73" i="9"/>
  <c r="D63" i="9"/>
  <c r="H4" i="5" s="1"/>
  <c r="D62" i="9"/>
  <c r="U48" i="9"/>
  <c r="M48" i="9"/>
  <c r="G48" i="9"/>
  <c r="L48" i="9" s="1"/>
  <c r="D48" i="9"/>
  <c r="U47" i="9"/>
  <c r="M47" i="9"/>
  <c r="G47" i="9"/>
  <c r="L47" i="9" s="1"/>
  <c r="D47" i="9"/>
  <c r="U46" i="9"/>
  <c r="M46" i="9"/>
  <c r="G46" i="9"/>
  <c r="L46" i="9" s="1"/>
  <c r="D46" i="9"/>
  <c r="U45" i="9"/>
  <c r="T45" i="9"/>
  <c r="M45" i="9"/>
  <c r="L45" i="9"/>
  <c r="H45" i="9"/>
  <c r="G45" i="9"/>
  <c r="D45" i="9"/>
  <c r="U44" i="9"/>
  <c r="T44" i="9"/>
  <c r="M44" i="9"/>
  <c r="L44" i="9"/>
  <c r="H44" i="9"/>
  <c r="G44" i="9"/>
  <c r="D44" i="9"/>
  <c r="U43" i="9"/>
  <c r="T43" i="9"/>
  <c r="M43" i="9"/>
  <c r="L43" i="9"/>
  <c r="H43" i="9"/>
  <c r="G43" i="9"/>
  <c r="D43" i="9"/>
  <c r="S41" i="9"/>
  <c r="U39" i="9"/>
  <c r="T39" i="9"/>
  <c r="M39" i="9"/>
  <c r="L39" i="9"/>
  <c r="I39" i="9"/>
  <c r="G39" i="9"/>
  <c r="F39" i="9"/>
  <c r="D39" i="9"/>
  <c r="R39" i="9" s="1"/>
  <c r="U38" i="9"/>
  <c r="T38" i="9"/>
  <c r="M38" i="9"/>
  <c r="L38" i="9"/>
  <c r="I38" i="9"/>
  <c r="G38" i="9"/>
  <c r="F38" i="9"/>
  <c r="D38" i="9"/>
  <c r="R38" i="9" s="1"/>
  <c r="U37" i="9"/>
  <c r="T37" i="9"/>
  <c r="M37" i="9"/>
  <c r="L37" i="9"/>
  <c r="I37" i="9"/>
  <c r="G37" i="9"/>
  <c r="F37" i="9"/>
  <c r="D37" i="9"/>
  <c r="R37" i="9" s="1"/>
  <c r="U34" i="9"/>
  <c r="M34" i="9"/>
  <c r="Q34" i="9" s="1"/>
  <c r="U33" i="9"/>
  <c r="T33" i="9"/>
  <c r="M33" i="9"/>
  <c r="L33" i="9"/>
  <c r="F33" i="9"/>
  <c r="D33" i="9"/>
  <c r="U32" i="9"/>
  <c r="T32" i="9"/>
  <c r="M32" i="9"/>
  <c r="L32" i="9"/>
  <c r="F32" i="9"/>
  <c r="U29" i="9"/>
  <c r="T29" i="9"/>
  <c r="M29" i="9"/>
  <c r="L29" i="9"/>
  <c r="F29" i="9"/>
  <c r="D29" i="9"/>
  <c r="U28" i="9"/>
  <c r="T28" i="9"/>
  <c r="M28" i="9"/>
  <c r="L28" i="9"/>
  <c r="F28" i="9"/>
  <c r="D28" i="9"/>
  <c r="U27" i="9"/>
  <c r="T27" i="9"/>
  <c r="M27" i="9"/>
  <c r="L27" i="9"/>
  <c r="F27" i="9"/>
  <c r="D27" i="9"/>
  <c r="U24" i="9"/>
  <c r="T24" i="9"/>
  <c r="M24" i="9"/>
  <c r="L24" i="9"/>
  <c r="I24" i="9"/>
  <c r="H24" i="9"/>
  <c r="G24" i="9"/>
  <c r="F24" i="9"/>
  <c r="D24" i="9"/>
  <c r="U23" i="9"/>
  <c r="T23" i="9"/>
  <c r="M23" i="9"/>
  <c r="L23" i="9"/>
  <c r="I23" i="9"/>
  <c r="H23" i="9"/>
  <c r="G23" i="9"/>
  <c r="F23" i="9"/>
  <c r="D23" i="9"/>
  <c r="U22" i="9"/>
  <c r="T22" i="9"/>
  <c r="M22" i="9"/>
  <c r="L22" i="9"/>
  <c r="I22" i="9"/>
  <c r="H22" i="9"/>
  <c r="G22" i="9"/>
  <c r="F22" i="9"/>
  <c r="D22" i="9"/>
  <c r="U21" i="9"/>
  <c r="T21" i="9"/>
  <c r="M21" i="9"/>
  <c r="L21" i="9"/>
  <c r="I21" i="9"/>
  <c r="H21" i="9"/>
  <c r="G21" i="9"/>
  <c r="F21" i="9"/>
  <c r="D21" i="9"/>
  <c r="U20" i="9"/>
  <c r="T20" i="9"/>
  <c r="M20" i="9"/>
  <c r="L20" i="9"/>
  <c r="I20" i="9"/>
  <c r="H20" i="9"/>
  <c r="G20" i="9"/>
  <c r="F20" i="9"/>
  <c r="D20" i="9"/>
  <c r="U19" i="9"/>
  <c r="T19" i="9"/>
  <c r="M19" i="9"/>
  <c r="L19" i="9"/>
  <c r="I19" i="9"/>
  <c r="H19" i="9"/>
  <c r="G19" i="9"/>
  <c r="F19" i="9"/>
  <c r="D19" i="9"/>
  <c r="U18" i="9"/>
  <c r="T18" i="9"/>
  <c r="M18" i="9"/>
  <c r="L18" i="9"/>
  <c r="I18" i="9"/>
  <c r="H18" i="9"/>
  <c r="G18" i="9"/>
  <c r="F18" i="9"/>
  <c r="D18" i="9"/>
  <c r="U17" i="9"/>
  <c r="T17" i="9"/>
  <c r="M17" i="9"/>
  <c r="L17" i="9"/>
  <c r="I17" i="9"/>
  <c r="H17" i="9"/>
  <c r="G17" i="9"/>
  <c r="F17" i="9"/>
  <c r="D17" i="9"/>
  <c r="U16" i="9"/>
  <c r="T16" i="9"/>
  <c r="M16" i="9"/>
  <c r="L16" i="9"/>
  <c r="I16" i="9"/>
  <c r="H16" i="9"/>
  <c r="G16" i="9"/>
  <c r="F16" i="9"/>
  <c r="D16" i="9"/>
  <c r="U15" i="9"/>
  <c r="T15" i="9"/>
  <c r="M15" i="9"/>
  <c r="L15" i="9"/>
  <c r="I15" i="9"/>
  <c r="H15" i="9"/>
  <c r="G15" i="9"/>
  <c r="F15" i="9"/>
  <c r="D15" i="9"/>
  <c r="U14" i="9"/>
  <c r="T14" i="9"/>
  <c r="M14" i="9"/>
  <c r="L14" i="9"/>
  <c r="I14" i="9"/>
  <c r="H14" i="9"/>
  <c r="G14" i="9"/>
  <c r="F14" i="9"/>
  <c r="D14" i="9"/>
  <c r="U13" i="9"/>
  <c r="T13" i="9"/>
  <c r="M13" i="9"/>
  <c r="L13" i="9"/>
  <c r="I13" i="9"/>
  <c r="H13" i="9"/>
  <c r="G13" i="9"/>
  <c r="F13" i="9"/>
  <c r="D13" i="9"/>
  <c r="U9" i="9"/>
  <c r="M9" i="9"/>
  <c r="L9" i="9"/>
  <c r="D9" i="9"/>
  <c r="R9" i="9" s="1"/>
  <c r="U8" i="9"/>
  <c r="M8" i="9"/>
  <c r="L8" i="9"/>
  <c r="D8" i="9"/>
  <c r="R8" i="9" s="1"/>
  <c r="AD7" i="9"/>
  <c r="M7" i="9"/>
  <c r="L7" i="9"/>
  <c r="D7" i="9"/>
  <c r="G1" i="9"/>
  <c r="B1" i="5" s="1"/>
  <c r="F1" i="9"/>
  <c r="F13" i="1"/>
  <c r="E13" i="1"/>
  <c r="D13" i="1"/>
  <c r="K13" i="1" s="1"/>
  <c r="C13" i="1"/>
  <c r="B13" i="1"/>
  <c r="F12" i="1"/>
  <c r="E12" i="1"/>
  <c r="D12" i="1"/>
  <c r="C12" i="1"/>
  <c r="B12" i="1"/>
  <c r="F11" i="1"/>
  <c r="E11" i="1"/>
  <c r="D11" i="1"/>
  <c r="C11" i="1"/>
  <c r="B11" i="1"/>
  <c r="F10" i="1"/>
  <c r="E10" i="1"/>
  <c r="D10" i="1"/>
  <c r="C10" i="1"/>
  <c r="B10" i="1"/>
  <c r="F9" i="1"/>
  <c r="E9" i="1"/>
  <c r="D9" i="1"/>
  <c r="C9" i="1"/>
  <c r="B9" i="1"/>
  <c r="F8" i="1"/>
  <c r="E8" i="1"/>
  <c r="D8" i="1"/>
  <c r="C8" i="1"/>
  <c r="B8" i="1"/>
  <c r="F5" i="1"/>
  <c r="M5" i="1" s="1"/>
  <c r="E5" i="1"/>
  <c r="L5" i="1" s="1"/>
  <c r="D5" i="1"/>
  <c r="K5" i="1" s="1"/>
  <c r="F4" i="1"/>
  <c r="M4" i="1" s="1"/>
  <c r="E4" i="1"/>
  <c r="L4" i="1" s="1"/>
  <c r="D4" i="1"/>
  <c r="K4" i="1" s="1"/>
  <c r="F3" i="22"/>
  <c r="E3" i="22"/>
  <c r="D3" i="22"/>
  <c r="F2" i="22"/>
  <c r="E2" i="22"/>
  <c r="D2" i="22"/>
  <c r="J48" i="18" l="1"/>
  <c r="R48" i="18"/>
  <c r="R48" i="9"/>
  <c r="J48" i="9"/>
  <c r="J48" i="19"/>
  <c r="R48" i="19"/>
  <c r="R47" i="19"/>
  <c r="J47" i="19"/>
  <c r="J47" i="18"/>
  <c r="R47" i="18"/>
  <c r="R47" i="9"/>
  <c r="S47" i="9" s="1"/>
  <c r="J47" i="9"/>
  <c r="K47" i="9" s="1"/>
  <c r="AC47" i="9" s="1"/>
  <c r="R46" i="9"/>
  <c r="J46" i="9"/>
  <c r="R46" i="19"/>
  <c r="S46" i="19" s="1"/>
  <c r="J46" i="19"/>
  <c r="J46" i="18"/>
  <c r="R46" i="18"/>
  <c r="R45" i="9"/>
  <c r="J45" i="9"/>
  <c r="R45" i="19"/>
  <c r="J45" i="19"/>
  <c r="J44" i="19"/>
  <c r="R44" i="19"/>
  <c r="R44" i="9"/>
  <c r="J44" i="9"/>
  <c r="R43" i="19"/>
  <c r="J43" i="19"/>
  <c r="R43" i="9"/>
  <c r="J43" i="9"/>
  <c r="K43" i="9" s="1"/>
  <c r="S33" i="18"/>
  <c r="K33" i="9"/>
  <c r="R33" i="9"/>
  <c r="S33" i="9"/>
  <c r="K33" i="19"/>
  <c r="R33" i="19"/>
  <c r="K32" i="9"/>
  <c r="S32" i="9"/>
  <c r="R32" i="9"/>
  <c r="S32" i="18"/>
  <c r="K32" i="18"/>
  <c r="K32" i="19"/>
  <c r="Q32" i="19" s="1"/>
  <c r="R32" i="19"/>
  <c r="S32" i="19"/>
  <c r="S29" i="18"/>
  <c r="K29" i="9"/>
  <c r="S29" i="9"/>
  <c r="R29" i="9"/>
  <c r="K29" i="19"/>
  <c r="S29" i="19"/>
  <c r="R29" i="19"/>
  <c r="S28" i="18"/>
  <c r="K28" i="9"/>
  <c r="S28" i="9"/>
  <c r="R28" i="9"/>
  <c r="K28" i="19"/>
  <c r="R28" i="19"/>
  <c r="S28" i="19"/>
  <c r="S27" i="9"/>
  <c r="K27" i="9"/>
  <c r="R27" i="9"/>
  <c r="S27" i="19"/>
  <c r="R27" i="19"/>
  <c r="K27" i="19"/>
  <c r="AC27" i="19" s="1"/>
  <c r="S27" i="18"/>
  <c r="K27" i="18"/>
  <c r="R27" i="18"/>
  <c r="K8" i="18"/>
  <c r="R8" i="18"/>
  <c r="R45" i="18"/>
  <c r="S45" i="18" s="1"/>
  <c r="AD45" i="18" s="1"/>
  <c r="R44" i="18"/>
  <c r="S44" i="18" s="1"/>
  <c r="AD44" i="18" s="1"/>
  <c r="K44" i="18"/>
  <c r="P44" i="18" s="1"/>
  <c r="R43" i="18"/>
  <c r="S43" i="18" s="1"/>
  <c r="K43" i="18"/>
  <c r="AC43" i="18" s="1"/>
  <c r="R37" i="18"/>
  <c r="AD37" i="18" s="1"/>
  <c r="R29" i="18"/>
  <c r="K29" i="18"/>
  <c r="P29" i="18" s="1"/>
  <c r="K28" i="18"/>
  <c r="AC28" i="18" s="1"/>
  <c r="R28" i="18"/>
  <c r="P33" i="18"/>
  <c r="R33" i="18"/>
  <c r="R32" i="18"/>
  <c r="S47" i="18"/>
  <c r="S46" i="18"/>
  <c r="K46" i="9"/>
  <c r="AC46" i="9" s="1"/>
  <c r="S46" i="9"/>
  <c r="K48" i="19"/>
  <c r="P48" i="19" s="1"/>
  <c r="S48" i="19"/>
  <c r="S48" i="18"/>
  <c r="K48" i="9"/>
  <c r="S48" i="9"/>
  <c r="K47" i="19"/>
  <c r="P47" i="19" s="1"/>
  <c r="S47" i="19"/>
  <c r="K46" i="19"/>
  <c r="W73" i="24"/>
  <c r="AZ109" i="5" s="1"/>
  <c r="S45" i="9"/>
  <c r="AD45" i="9" s="1"/>
  <c r="K45" i="9"/>
  <c r="K45" i="18"/>
  <c r="P45" i="18" s="1"/>
  <c r="K44" i="9"/>
  <c r="S44" i="9"/>
  <c r="AD44" i="9" s="1"/>
  <c r="S43" i="9"/>
  <c r="AD43" i="9" s="1"/>
  <c r="K45" i="19"/>
  <c r="AC45" i="19" s="1"/>
  <c r="S45" i="19"/>
  <c r="AD45" i="19" s="1"/>
  <c r="K44" i="19"/>
  <c r="AC44" i="19" s="1"/>
  <c r="S44" i="19"/>
  <c r="AD44" i="19" s="1"/>
  <c r="S43" i="19"/>
  <c r="K43" i="19"/>
  <c r="AC43" i="19" s="1"/>
  <c r="H42" i="9"/>
  <c r="Q28" i="9"/>
  <c r="K48" i="18"/>
  <c r="Q48" i="18" s="1"/>
  <c r="AC33" i="9"/>
  <c r="J66" i="9"/>
  <c r="J69" i="9"/>
  <c r="O13" i="1"/>
  <c r="N13" i="1"/>
  <c r="O8" i="1"/>
  <c r="N8" i="1"/>
  <c r="N10" i="1"/>
  <c r="O10" i="1"/>
  <c r="K10" i="1"/>
  <c r="N12" i="1"/>
  <c r="O12" i="1"/>
  <c r="N9" i="1"/>
  <c r="O9" i="1"/>
  <c r="J68" i="18"/>
  <c r="J69" i="18"/>
  <c r="L11" i="1"/>
  <c r="O11" i="1"/>
  <c r="N11" i="1"/>
  <c r="BK10" i="5"/>
  <c r="AZ6" i="5"/>
  <c r="AZ8" i="5"/>
  <c r="AX12" i="5"/>
  <c r="AY10" i="5"/>
  <c r="AZ10" i="5" s="1"/>
  <c r="AC33" i="18"/>
  <c r="AD3" i="5"/>
  <c r="AH3" i="5" s="1"/>
  <c r="BD3" i="5"/>
  <c r="BD36" i="5" s="1"/>
  <c r="BE36" i="5" s="1"/>
  <c r="AH4" i="5"/>
  <c r="BH4" i="5"/>
  <c r="O21" i="1"/>
  <c r="BM109" i="5"/>
  <c r="K9" i="1"/>
  <c r="L10" i="1"/>
  <c r="L12" i="1"/>
  <c r="AF22" i="19"/>
  <c r="J22" i="19" s="1"/>
  <c r="K22" i="19" s="1"/>
  <c r="AC22" i="19" s="1"/>
  <c r="S23" i="19"/>
  <c r="S16" i="19"/>
  <c r="AD16" i="19" s="1"/>
  <c r="D25" i="19"/>
  <c r="D25" i="18"/>
  <c r="AS11" i="5"/>
  <c r="AS12" i="5" s="1"/>
  <c r="BB38" i="5"/>
  <c r="S17" i="18"/>
  <c r="AD17" i="18" s="1"/>
  <c r="T8" i="18"/>
  <c r="AF23" i="9"/>
  <c r="J23" i="9" s="1"/>
  <c r="K23" i="9" s="1"/>
  <c r="AC23" i="9" s="1"/>
  <c r="AF17" i="9"/>
  <c r="J17" i="9" s="1"/>
  <c r="K17" i="9" s="1"/>
  <c r="AC17" i="9" s="1"/>
  <c r="S17" i="19"/>
  <c r="AD17" i="19" s="1"/>
  <c r="S24" i="19"/>
  <c r="AF21" i="19"/>
  <c r="J21" i="19" s="1"/>
  <c r="K21" i="19" s="1"/>
  <c r="AC21" i="19" s="1"/>
  <c r="AD31" i="9"/>
  <c r="C16" i="1"/>
  <c r="D16" i="1"/>
  <c r="T8" i="9"/>
  <c r="AF18" i="9"/>
  <c r="J18" i="9" s="1"/>
  <c r="K18" i="9" s="1"/>
  <c r="AC18" i="9" s="1"/>
  <c r="E16" i="1"/>
  <c r="S15" i="18"/>
  <c r="AD15" i="18" s="1"/>
  <c r="F16" i="1"/>
  <c r="M9" i="1"/>
  <c r="M13" i="1"/>
  <c r="AF14" i="19"/>
  <c r="J14" i="19" s="1"/>
  <c r="K14" i="19" s="1"/>
  <c r="AC14" i="19" s="1"/>
  <c r="AF20" i="19"/>
  <c r="J20" i="19" s="1"/>
  <c r="K20" i="19" s="1"/>
  <c r="AC20" i="19" s="1"/>
  <c r="S16" i="9"/>
  <c r="AD16" i="9" s="1"/>
  <c r="M12" i="1"/>
  <c r="S18" i="9"/>
  <c r="AD18" i="9" s="1"/>
  <c r="S16" i="18"/>
  <c r="AD16" i="18" s="1"/>
  <c r="M11" i="1"/>
  <c r="S24" i="9"/>
  <c r="AD24" i="9" s="1"/>
  <c r="S22" i="18"/>
  <c r="AD22" i="18" s="1"/>
  <c r="S15" i="19"/>
  <c r="AD15" i="19" s="1"/>
  <c r="L9" i="1"/>
  <c r="K11" i="1"/>
  <c r="L13" i="1"/>
  <c r="AF20" i="9"/>
  <c r="J20" i="9" s="1"/>
  <c r="K20" i="9" s="1"/>
  <c r="AC20" i="9" s="1"/>
  <c r="S8" i="18"/>
  <c r="AD8" i="18" s="1"/>
  <c r="K8" i="1"/>
  <c r="K12" i="1"/>
  <c r="M10" i="1"/>
  <c r="AF14" i="9"/>
  <c r="J14" i="9" s="1"/>
  <c r="K14" i="9" s="1"/>
  <c r="AC14" i="9" s="1"/>
  <c r="S19" i="19"/>
  <c r="AD19" i="19" s="1"/>
  <c r="P34" i="19"/>
  <c r="K9" i="19"/>
  <c r="P9" i="19" s="1"/>
  <c r="AF17" i="19"/>
  <c r="J17" i="19" s="1"/>
  <c r="K17" i="19" s="1"/>
  <c r="AC17" i="19" s="1"/>
  <c r="S20" i="19"/>
  <c r="AD20" i="19" s="1"/>
  <c r="T25" i="19"/>
  <c r="S9" i="19"/>
  <c r="AD9" i="19" s="1"/>
  <c r="AF15" i="19"/>
  <c r="J15" i="19" s="1"/>
  <c r="K15" i="19" s="1"/>
  <c r="AC15" i="19" s="1"/>
  <c r="AF24" i="19"/>
  <c r="J24" i="19" s="1"/>
  <c r="K24" i="19" s="1"/>
  <c r="AC24" i="19" s="1"/>
  <c r="T9" i="19"/>
  <c r="AF16" i="19"/>
  <c r="J16" i="19" s="1"/>
  <c r="K16" i="19" s="1"/>
  <c r="AC16" i="19" s="1"/>
  <c r="S22" i="19"/>
  <c r="AD22" i="19" s="1"/>
  <c r="AD30" i="9"/>
  <c r="AF13" i="18"/>
  <c r="J13" i="18" s="1"/>
  <c r="K13" i="18" s="1"/>
  <c r="AC13" i="18" s="1"/>
  <c r="AF21" i="18"/>
  <c r="J21" i="18" s="1"/>
  <c r="K21" i="18" s="1"/>
  <c r="AC21" i="18" s="1"/>
  <c r="AF24" i="18"/>
  <c r="J24" i="18" s="1"/>
  <c r="K24" i="18" s="1"/>
  <c r="AC24" i="18" s="1"/>
  <c r="AF14" i="18"/>
  <c r="J14" i="18" s="1"/>
  <c r="K14" i="18" s="1"/>
  <c r="AC14" i="18" s="1"/>
  <c r="AF22" i="18"/>
  <c r="J22" i="18" s="1"/>
  <c r="K22" i="18" s="1"/>
  <c r="AC22" i="18" s="1"/>
  <c r="AF19" i="18"/>
  <c r="J19" i="18" s="1"/>
  <c r="K19" i="18" s="1"/>
  <c r="AC19" i="18" s="1"/>
  <c r="S24" i="18"/>
  <c r="AD24" i="18" s="1"/>
  <c r="S13" i="18"/>
  <c r="AF20" i="18"/>
  <c r="J20" i="18" s="1"/>
  <c r="K20" i="18" s="1"/>
  <c r="AC20" i="18" s="1"/>
  <c r="S14" i="18"/>
  <c r="AD14" i="18" s="1"/>
  <c r="AF17" i="18"/>
  <c r="J17" i="18" s="1"/>
  <c r="K17" i="18" s="1"/>
  <c r="AC17" i="18" s="1"/>
  <c r="AF15" i="9"/>
  <c r="J15" i="9" s="1"/>
  <c r="K15" i="9" s="1"/>
  <c r="AC15" i="9" s="1"/>
  <c r="T9" i="9"/>
  <c r="S21" i="9"/>
  <c r="AD21" i="9" s="1"/>
  <c r="S17" i="9"/>
  <c r="AD17" i="9" s="1"/>
  <c r="S20" i="9"/>
  <c r="AD20" i="9" s="1"/>
  <c r="AF24" i="9"/>
  <c r="J24" i="9" s="1"/>
  <c r="K24" i="9" s="1"/>
  <c r="AC24" i="9" s="1"/>
  <c r="D11" i="9"/>
  <c r="AF13" i="9"/>
  <c r="J13" i="9" s="1"/>
  <c r="K13" i="9" s="1"/>
  <c r="AC13" i="9" s="1"/>
  <c r="S15" i="9"/>
  <c r="AD15" i="9" s="1"/>
  <c r="AF19" i="9"/>
  <c r="J19" i="9" s="1"/>
  <c r="K19" i="9" s="1"/>
  <c r="AC19" i="9" s="1"/>
  <c r="J70" i="9"/>
  <c r="J67" i="19"/>
  <c r="J68" i="19"/>
  <c r="J68" i="9"/>
  <c r="T47" i="19"/>
  <c r="J66" i="19"/>
  <c r="AF37" i="18"/>
  <c r="J37" i="18" s="1"/>
  <c r="K37" i="18" s="1"/>
  <c r="AC37" i="18" s="1"/>
  <c r="AF39" i="19"/>
  <c r="J39" i="19" s="1"/>
  <c r="K39" i="19" s="1"/>
  <c r="AC39" i="19" s="1"/>
  <c r="J70" i="18"/>
  <c r="P29" i="19"/>
  <c r="J66" i="18"/>
  <c r="J67" i="18"/>
  <c r="AD38" i="19"/>
  <c r="AF38" i="9"/>
  <c r="J38" i="9" s="1"/>
  <c r="K38" i="9" s="1"/>
  <c r="AC38" i="9" s="1"/>
  <c r="J71" i="18"/>
  <c r="AC29" i="9"/>
  <c r="T35" i="18"/>
  <c r="I43" i="18"/>
  <c r="I44" i="18"/>
  <c r="T48" i="18"/>
  <c r="T35" i="9"/>
  <c r="T47" i="9"/>
  <c r="Q28" i="18"/>
  <c r="AF38" i="18"/>
  <c r="J38" i="18" s="1"/>
  <c r="K38" i="18" s="1"/>
  <c r="AC38" i="18" s="1"/>
  <c r="K47" i="18"/>
  <c r="AC47" i="18" s="1"/>
  <c r="T35" i="19"/>
  <c r="P33" i="19"/>
  <c r="P28" i="18"/>
  <c r="T41" i="19"/>
  <c r="T41" i="9"/>
  <c r="T48" i="9"/>
  <c r="AF37" i="19"/>
  <c r="J37" i="19" s="1"/>
  <c r="K37" i="19" s="1"/>
  <c r="AC37" i="19" s="1"/>
  <c r="AF38" i="19"/>
  <c r="J38" i="19" s="1"/>
  <c r="K38" i="19" s="1"/>
  <c r="Q38" i="19" s="1"/>
  <c r="T41" i="18"/>
  <c r="AF16" i="18"/>
  <c r="J16" i="18" s="1"/>
  <c r="K16" i="18" s="1"/>
  <c r="AC16" i="18" s="1"/>
  <c r="S14" i="9"/>
  <c r="AD14" i="9" s="1"/>
  <c r="S19" i="9"/>
  <c r="AD19" i="9" s="1"/>
  <c r="AC32" i="9"/>
  <c r="R41" i="9"/>
  <c r="S21" i="18"/>
  <c r="AD21" i="18" s="1"/>
  <c r="AF23" i="18"/>
  <c r="J23" i="18" s="1"/>
  <c r="K23" i="18" s="1"/>
  <c r="AC23" i="18" s="1"/>
  <c r="L35" i="9"/>
  <c r="AD38" i="18"/>
  <c r="I45" i="18"/>
  <c r="L8" i="1"/>
  <c r="M8" i="1"/>
  <c r="K8" i="9"/>
  <c r="AC8" i="9" s="1"/>
  <c r="L25" i="9"/>
  <c r="K9" i="9"/>
  <c r="AC9" i="9" s="1"/>
  <c r="T25" i="9"/>
  <c r="AF21" i="9"/>
  <c r="J21" i="9" s="1"/>
  <c r="K21" i="9" s="1"/>
  <c r="AC21" i="9" s="1"/>
  <c r="AD38" i="9"/>
  <c r="I44" i="9"/>
  <c r="T25" i="18"/>
  <c r="AF15" i="18"/>
  <c r="J15" i="18" s="1"/>
  <c r="K15" i="18" s="1"/>
  <c r="S20" i="18"/>
  <c r="AD20" i="18" s="1"/>
  <c r="AF13" i="19"/>
  <c r="J13" i="19" s="1"/>
  <c r="K13" i="19" s="1"/>
  <c r="AC13" i="19" s="1"/>
  <c r="S18" i="19"/>
  <c r="AD18" i="19" s="1"/>
  <c r="AF18" i="19"/>
  <c r="J18" i="19" s="1"/>
  <c r="K18" i="19" s="1"/>
  <c r="AC18" i="19" s="1"/>
  <c r="AF16" i="9"/>
  <c r="J16" i="9" s="1"/>
  <c r="K16" i="9" s="1"/>
  <c r="AC16" i="9" s="1"/>
  <c r="AD32" i="9"/>
  <c r="T9" i="18"/>
  <c r="S9" i="18"/>
  <c r="AD9" i="18" s="1"/>
  <c r="K7" i="9"/>
  <c r="D25" i="9"/>
  <c r="P34" i="9"/>
  <c r="I43" i="9"/>
  <c r="Q8" i="18"/>
  <c r="AC8" i="18"/>
  <c r="K9" i="18"/>
  <c r="AC9" i="18" s="1"/>
  <c r="AD39" i="18"/>
  <c r="T8" i="19"/>
  <c r="S8" i="19"/>
  <c r="K8" i="19"/>
  <c r="P8" i="19" s="1"/>
  <c r="R41" i="19"/>
  <c r="S8" i="9"/>
  <c r="S9" i="9"/>
  <c r="AF22" i="9"/>
  <c r="J22" i="9" s="1"/>
  <c r="K22" i="9" s="1"/>
  <c r="I45" i="9"/>
  <c r="P8" i="18"/>
  <c r="Q34" i="18"/>
  <c r="P34" i="18"/>
  <c r="AF39" i="18"/>
  <c r="J39" i="18" s="1"/>
  <c r="K39" i="18" s="1"/>
  <c r="AC39" i="18" s="1"/>
  <c r="S23" i="9"/>
  <c r="AD23" i="9" s="1"/>
  <c r="L41" i="9"/>
  <c r="AF39" i="9"/>
  <c r="J39" i="9" s="1"/>
  <c r="K39" i="9" s="1"/>
  <c r="AC39" i="9" s="1"/>
  <c r="J71" i="9"/>
  <c r="J67" i="9"/>
  <c r="D3" i="5"/>
  <c r="D11" i="18"/>
  <c r="AF18" i="18"/>
  <c r="J18" i="18" s="1"/>
  <c r="K18" i="18" s="1"/>
  <c r="AC18" i="18" s="1"/>
  <c r="S19" i="18"/>
  <c r="AD19" i="18" s="1"/>
  <c r="A32" i="5"/>
  <c r="A34" i="5" s="1"/>
  <c r="A36" i="5" s="1"/>
  <c r="A38" i="5" s="1"/>
  <c r="A40" i="5" s="1"/>
  <c r="A42" i="5" s="1"/>
  <c r="A44" i="5" s="1"/>
  <c r="A46" i="5" s="1"/>
  <c r="A48" i="5" s="1"/>
  <c r="A50" i="5" s="1"/>
  <c r="A52" i="5" s="1"/>
  <c r="A54" i="5" s="1"/>
  <c r="A56" i="5" s="1"/>
  <c r="A58" i="5" s="1"/>
  <c r="A60" i="5" s="1"/>
  <c r="A62" i="5" s="1"/>
  <c r="A64" i="5" s="1"/>
  <c r="A66" i="5" s="1"/>
  <c r="A68" i="5" s="1"/>
  <c r="A70" i="5" s="1"/>
  <c r="A72" i="5" s="1"/>
  <c r="A74" i="5" s="1"/>
  <c r="A76" i="5" s="1"/>
  <c r="A78" i="5" s="1"/>
  <c r="A80" i="5" s="1"/>
  <c r="A82" i="5" s="1"/>
  <c r="A84" i="5" s="1"/>
  <c r="A86" i="5" s="1"/>
  <c r="A88" i="5" s="1"/>
  <c r="A90" i="5" s="1"/>
  <c r="A92" i="5" s="1"/>
  <c r="A94" i="5" s="1"/>
  <c r="A96" i="5" s="1"/>
  <c r="A98" i="5" s="1"/>
  <c r="A100" i="5" s="1"/>
  <c r="A102" i="5" s="1"/>
  <c r="A104" i="5" s="1"/>
  <c r="A106" i="5" s="1"/>
  <c r="A31" i="5"/>
  <c r="AD24" i="19"/>
  <c r="AD37" i="19"/>
  <c r="L25" i="18"/>
  <c r="L25" i="19"/>
  <c r="S14" i="19"/>
  <c r="AD14" i="19" s="1"/>
  <c r="AD39" i="19"/>
  <c r="I44" i="19"/>
  <c r="S18" i="18"/>
  <c r="AD18" i="18" s="1"/>
  <c r="S23" i="18"/>
  <c r="AD23" i="18" s="1"/>
  <c r="Q32" i="18"/>
  <c r="L41" i="18"/>
  <c r="AF19" i="19"/>
  <c r="J19" i="19" s="1"/>
  <c r="K19" i="19" s="1"/>
  <c r="AC19" i="19" s="1"/>
  <c r="S21" i="19"/>
  <c r="AD21" i="19" s="1"/>
  <c r="AD23" i="19"/>
  <c r="I43" i="19"/>
  <c r="L35" i="18"/>
  <c r="L49" i="18"/>
  <c r="AF23" i="19"/>
  <c r="J23" i="19" s="1"/>
  <c r="K23" i="19" s="1"/>
  <c r="AC23" i="19" s="1"/>
  <c r="L35" i="19"/>
  <c r="T48" i="19"/>
  <c r="J70" i="19"/>
  <c r="D11" i="19"/>
  <c r="S13" i="19"/>
  <c r="AD13" i="19" s="1"/>
  <c r="J71" i="19"/>
  <c r="AD39" i="9"/>
  <c r="T47" i="18"/>
  <c r="L11" i="19"/>
  <c r="Q3" i="5"/>
  <c r="AF37" i="9"/>
  <c r="J37" i="9" s="1"/>
  <c r="K37" i="9" s="1"/>
  <c r="AC37" i="9" s="1"/>
  <c r="U4" i="5"/>
  <c r="L41" i="19"/>
  <c r="AD37" i="9"/>
  <c r="S13" i="9"/>
  <c r="AD13" i="9" s="1"/>
  <c r="L11" i="18"/>
  <c r="K7" i="18"/>
  <c r="L11" i="9"/>
  <c r="K7" i="19"/>
  <c r="AC7" i="19" s="1"/>
  <c r="L46" i="19"/>
  <c r="L49" i="19" s="1"/>
  <c r="T46" i="19"/>
  <c r="T46" i="9"/>
  <c r="T46" i="18"/>
  <c r="L49" i="9"/>
  <c r="K46" i="18"/>
  <c r="AC46" i="18" s="1"/>
  <c r="AC27" i="9"/>
  <c r="S22" i="9"/>
  <c r="P32" i="19"/>
  <c r="AC32" i="19" l="1"/>
  <c r="Q9" i="19"/>
  <c r="AC9" i="19"/>
  <c r="P37" i="18"/>
  <c r="Q37" i="18"/>
  <c r="Q29" i="18"/>
  <c r="AC29" i="18"/>
  <c r="Q33" i="18"/>
  <c r="AD33" i="9"/>
  <c r="AD47" i="19"/>
  <c r="S50" i="9"/>
  <c r="AD29" i="9"/>
  <c r="AD28" i="9"/>
  <c r="N21" i="1"/>
  <c r="AC46" i="19"/>
  <c r="T11" i="18"/>
  <c r="AD32" i="18"/>
  <c r="S11" i="19"/>
  <c r="AD9" i="9"/>
  <c r="S11" i="9"/>
  <c r="AD8" i="9"/>
  <c r="T49" i="9"/>
  <c r="S49" i="18"/>
  <c r="S49" i="9"/>
  <c r="N16" i="1"/>
  <c r="BA3" i="5" s="1"/>
  <c r="BA6" i="5" s="1"/>
  <c r="BA8" i="5"/>
  <c r="O16" i="1"/>
  <c r="BN3" i="5" s="1"/>
  <c r="N25" i="1"/>
  <c r="AD47" i="9"/>
  <c r="AE47" i="9"/>
  <c r="S50" i="18"/>
  <c r="AE48" i="19"/>
  <c r="AD48" i="19"/>
  <c r="AE47" i="19"/>
  <c r="AX14" i="5"/>
  <c r="AY12" i="5"/>
  <c r="AZ12" i="5" s="1"/>
  <c r="BK12" i="5"/>
  <c r="AD47" i="18"/>
  <c r="AE47" i="18"/>
  <c r="T49" i="18"/>
  <c r="AD46" i="9"/>
  <c r="AE46" i="9"/>
  <c r="AD46" i="18"/>
  <c r="AE46" i="18"/>
  <c r="S50" i="19"/>
  <c r="AE46" i="19"/>
  <c r="AD48" i="18"/>
  <c r="AE48" i="18"/>
  <c r="AD48" i="9"/>
  <c r="AE48" i="9"/>
  <c r="AD43" i="18"/>
  <c r="AD52" i="5"/>
  <c r="AE52" i="5" s="1"/>
  <c r="AD58" i="5"/>
  <c r="AD82" i="5"/>
  <c r="AE82" i="5" s="1"/>
  <c r="AD48" i="5"/>
  <c r="AE48" i="5" s="1"/>
  <c r="AD54" i="5"/>
  <c r="AE54" i="5" s="1"/>
  <c r="AD24" i="5"/>
  <c r="AE24" i="5" s="1"/>
  <c r="AD34" i="5"/>
  <c r="AE34" i="5" s="1"/>
  <c r="AD102" i="5"/>
  <c r="AE102" i="5" s="1"/>
  <c r="AD81" i="5"/>
  <c r="AD74" i="5"/>
  <c r="AE74" i="5" s="1"/>
  <c r="AD44" i="5"/>
  <c r="AE44" i="5" s="1"/>
  <c r="AD26" i="5"/>
  <c r="AE26" i="5" s="1"/>
  <c r="AD78" i="5"/>
  <c r="AE78" i="5" s="1"/>
  <c r="AD104" i="5"/>
  <c r="AE104" i="5" s="1"/>
  <c r="AD31" i="5"/>
  <c r="AD14" i="5"/>
  <c r="AE14" i="5" s="1"/>
  <c r="AD20" i="5"/>
  <c r="AE20" i="5" s="1"/>
  <c r="AD62" i="5"/>
  <c r="AE62" i="5" s="1"/>
  <c r="AD88" i="5"/>
  <c r="AE88" i="5" s="1"/>
  <c r="AD22" i="5"/>
  <c r="AE22" i="5" s="1"/>
  <c r="AD12" i="5"/>
  <c r="AE12" i="5" s="1"/>
  <c r="AD66" i="5"/>
  <c r="AE66" i="5" s="1"/>
  <c r="AD90" i="5"/>
  <c r="AE90" i="5" s="1"/>
  <c r="AD18" i="5"/>
  <c r="AE18" i="5" s="1"/>
  <c r="AD6" i="5"/>
  <c r="AD10" i="5"/>
  <c r="AE10" i="5" s="1"/>
  <c r="AD70" i="5"/>
  <c r="AE70" i="5" s="1"/>
  <c r="AD94" i="5"/>
  <c r="AE94" i="5" s="1"/>
  <c r="AD32" i="5"/>
  <c r="AE32" i="5" s="1"/>
  <c r="AD86" i="5"/>
  <c r="AE86" i="5" s="1"/>
  <c r="AD50" i="5"/>
  <c r="AE50" i="5" s="1"/>
  <c r="AD56" i="5"/>
  <c r="AE56" i="5" s="1"/>
  <c r="AD72" i="5"/>
  <c r="AE72" i="5" s="1"/>
  <c r="AD98" i="5"/>
  <c r="AE98" i="5" s="1"/>
  <c r="AD8" i="5"/>
  <c r="AE8" i="5" s="1"/>
  <c r="AD60" i="5"/>
  <c r="AE60" i="5" s="1"/>
  <c r="AD76" i="5"/>
  <c r="AE76" i="5" s="1"/>
  <c r="AD92" i="5"/>
  <c r="AE92" i="5" s="1"/>
  <c r="AD30" i="5"/>
  <c r="AE30" i="5" s="1"/>
  <c r="AD40" i="5"/>
  <c r="AE40" i="5" s="1"/>
  <c r="AD28" i="5"/>
  <c r="AE28" i="5" s="1"/>
  <c r="AD64" i="5"/>
  <c r="AE64" i="5" s="1"/>
  <c r="AD80" i="5"/>
  <c r="AE80" i="5" s="1"/>
  <c r="AD96" i="5"/>
  <c r="AE96" i="5" s="1"/>
  <c r="AD46" i="5"/>
  <c r="AE46" i="5" s="1"/>
  <c r="AD16" i="5"/>
  <c r="AE16" i="5" s="1"/>
  <c r="AD42" i="5"/>
  <c r="AE42" i="5" s="1"/>
  <c r="AD36" i="5"/>
  <c r="AE36" i="5" s="1"/>
  <c r="AD68" i="5"/>
  <c r="AE68" i="5" s="1"/>
  <c r="AD84" i="5"/>
  <c r="AE84" i="5" s="1"/>
  <c r="AD100" i="5"/>
  <c r="AE100" i="5" s="1"/>
  <c r="AD38" i="5"/>
  <c r="AE38" i="5" s="1"/>
  <c r="AD46" i="19"/>
  <c r="Q29" i="19"/>
  <c r="AH98" i="5"/>
  <c r="AD43" i="19"/>
  <c r="S49" i="19"/>
  <c r="L57" i="18"/>
  <c r="L57" i="9"/>
  <c r="AD106" i="5"/>
  <c r="AE106" i="5" s="1"/>
  <c r="AC44" i="18"/>
  <c r="AC45" i="18"/>
  <c r="AC28" i="9"/>
  <c r="AC35" i="9" s="1"/>
  <c r="M35" i="9" s="1"/>
  <c r="AC48" i="18"/>
  <c r="AC41" i="18"/>
  <c r="M41" i="18" s="1"/>
  <c r="AC32" i="18"/>
  <c r="AC29" i="19"/>
  <c r="BD8" i="5"/>
  <c r="BE8" i="5" s="1"/>
  <c r="BD81" i="5"/>
  <c r="BE81" i="5" s="1"/>
  <c r="BD12" i="5"/>
  <c r="BE12" i="5" s="1"/>
  <c r="BD14" i="5"/>
  <c r="BE14" i="5" s="1"/>
  <c r="BH3" i="5"/>
  <c r="BH38" i="5" s="1"/>
  <c r="BJ38" i="5" s="1"/>
  <c r="BD18" i="5"/>
  <c r="BE18" i="5" s="1"/>
  <c r="BD31" i="5"/>
  <c r="BE31" i="5" s="1"/>
  <c r="BD10" i="5"/>
  <c r="BE10" i="5" s="1"/>
  <c r="BD16" i="5"/>
  <c r="BE16" i="5" s="1"/>
  <c r="BD22" i="5"/>
  <c r="BE22" i="5" s="1"/>
  <c r="BD6" i="5"/>
  <c r="BE6" i="5" s="1"/>
  <c r="BF6" i="5" s="1"/>
  <c r="BD24" i="5"/>
  <c r="BE24" i="5" s="1"/>
  <c r="BD20" i="5"/>
  <c r="BE20" i="5" s="1"/>
  <c r="BD26" i="5"/>
  <c r="BE26" i="5" s="1"/>
  <c r="BD28" i="5"/>
  <c r="BE28" i="5" s="1"/>
  <c r="BD30" i="5"/>
  <c r="BE30" i="5" s="1"/>
  <c r="BD32" i="5"/>
  <c r="BE32" i="5" s="1"/>
  <c r="BD34" i="5"/>
  <c r="BE34" i="5" s="1"/>
  <c r="L57" i="19"/>
  <c r="AC38" i="19"/>
  <c r="AC41" i="19" s="1"/>
  <c r="M41" i="19" s="1"/>
  <c r="AC33" i="19"/>
  <c r="AC47" i="19"/>
  <c r="AC48" i="19"/>
  <c r="T11" i="9"/>
  <c r="L16" i="1"/>
  <c r="AA3" i="5" s="1"/>
  <c r="AS13" i="5"/>
  <c r="AS14" i="5" s="1"/>
  <c r="BB40" i="5"/>
  <c r="BD38" i="5"/>
  <c r="BE38" i="5" s="1"/>
  <c r="P28" i="19"/>
  <c r="AC28" i="19"/>
  <c r="Q27" i="18"/>
  <c r="AC27" i="18"/>
  <c r="Q48" i="9"/>
  <c r="AC48" i="9"/>
  <c r="Q45" i="9"/>
  <c r="AC45" i="9"/>
  <c r="Q44" i="9"/>
  <c r="AC44" i="9"/>
  <c r="P43" i="9"/>
  <c r="AC43" i="9"/>
  <c r="P39" i="9"/>
  <c r="P9" i="9"/>
  <c r="AH6" i="5"/>
  <c r="AH84" i="5"/>
  <c r="AD33" i="19"/>
  <c r="Q28" i="19"/>
  <c r="AD8" i="19"/>
  <c r="AD11" i="19" s="1"/>
  <c r="U11" i="19" s="1"/>
  <c r="AD11" i="18"/>
  <c r="U11" i="18" s="1"/>
  <c r="M16" i="1"/>
  <c r="AN3" i="5" s="1"/>
  <c r="K16" i="1"/>
  <c r="N3" i="5" s="1"/>
  <c r="P32" i="18"/>
  <c r="Q44" i="18"/>
  <c r="R41" i="18"/>
  <c r="T11" i="19"/>
  <c r="P39" i="19"/>
  <c r="Q44" i="19"/>
  <c r="AH100" i="5"/>
  <c r="AH32" i="5"/>
  <c r="Q37" i="19"/>
  <c r="AH30" i="5"/>
  <c r="AD25" i="19"/>
  <c r="U25" i="19" s="1"/>
  <c r="P37" i="19"/>
  <c r="AH52" i="5"/>
  <c r="P11" i="19"/>
  <c r="S25" i="19"/>
  <c r="AH10" i="5"/>
  <c r="AH68" i="5"/>
  <c r="P38" i="19"/>
  <c r="K35" i="19"/>
  <c r="AD29" i="19"/>
  <c r="P28" i="9"/>
  <c r="AD28" i="19"/>
  <c r="S35" i="19"/>
  <c r="Q9" i="18"/>
  <c r="Q11" i="18" s="1"/>
  <c r="P9" i="18"/>
  <c r="P11" i="18" s="1"/>
  <c r="AD33" i="18"/>
  <c r="Q39" i="18"/>
  <c r="S25" i="18"/>
  <c r="P39" i="18"/>
  <c r="P27" i="18"/>
  <c r="AD41" i="18"/>
  <c r="U41" i="18" s="1"/>
  <c r="P32" i="9"/>
  <c r="P8" i="9"/>
  <c r="Q8" i="9"/>
  <c r="Q39" i="9"/>
  <c r="Q9" i="9"/>
  <c r="Q29" i="9"/>
  <c r="K11" i="9"/>
  <c r="P48" i="9"/>
  <c r="AH38" i="5"/>
  <c r="AH54" i="5"/>
  <c r="AH70" i="5"/>
  <c r="AH86" i="5"/>
  <c r="AH102" i="5"/>
  <c r="P45" i="9"/>
  <c r="AH18" i="5"/>
  <c r="AH40" i="5"/>
  <c r="AH56" i="5"/>
  <c r="AH72" i="5"/>
  <c r="AH88" i="5"/>
  <c r="AH104" i="5"/>
  <c r="AH42" i="5"/>
  <c r="AH74" i="5"/>
  <c r="AH106" i="5"/>
  <c r="AH16" i="5"/>
  <c r="AH58" i="5"/>
  <c r="AH22" i="5"/>
  <c r="AH44" i="5"/>
  <c r="AH60" i="5"/>
  <c r="AH76" i="5"/>
  <c r="AH92" i="5"/>
  <c r="AH20" i="5"/>
  <c r="AH90" i="5"/>
  <c r="AH14" i="5"/>
  <c r="AH12" i="5"/>
  <c r="AH24" i="5"/>
  <c r="AH46" i="5"/>
  <c r="AH62" i="5"/>
  <c r="AH78" i="5"/>
  <c r="AH94" i="5"/>
  <c r="Q32" i="9"/>
  <c r="AH26" i="5"/>
  <c r="AH48" i="5"/>
  <c r="AH64" i="5"/>
  <c r="AH80" i="5"/>
  <c r="AH96" i="5"/>
  <c r="AH8" i="5"/>
  <c r="AH34" i="5"/>
  <c r="AH36" i="5"/>
  <c r="AH28" i="5"/>
  <c r="AH50" i="5"/>
  <c r="AH66" i="5"/>
  <c r="AH82" i="5"/>
  <c r="P47" i="18"/>
  <c r="P33" i="9"/>
  <c r="Q33" i="9"/>
  <c r="Q47" i="18"/>
  <c r="S35" i="9"/>
  <c r="AD27" i="18"/>
  <c r="K41" i="19"/>
  <c r="AD29" i="18"/>
  <c r="P29" i="9"/>
  <c r="AD28" i="18"/>
  <c r="P38" i="9"/>
  <c r="P44" i="19"/>
  <c r="P27" i="19"/>
  <c r="T49" i="19"/>
  <c r="P48" i="18"/>
  <c r="K35" i="9"/>
  <c r="AD41" i="9"/>
  <c r="U41" i="9" s="1"/>
  <c r="P44" i="9"/>
  <c r="Q45" i="19"/>
  <c r="P45" i="19"/>
  <c r="Q39" i="19"/>
  <c r="P46" i="18"/>
  <c r="Q46" i="18"/>
  <c r="AD32" i="19"/>
  <c r="Q33" i="19"/>
  <c r="P38" i="18"/>
  <c r="Q38" i="18"/>
  <c r="K41" i="18"/>
  <c r="AC15" i="18"/>
  <c r="AC25" i="18" s="1"/>
  <c r="M25" i="18" s="1"/>
  <c r="K25" i="18"/>
  <c r="Q47" i="9"/>
  <c r="P47" i="9"/>
  <c r="Q56" i="5"/>
  <c r="R56" i="5" s="1"/>
  <c r="Q54" i="5"/>
  <c r="R54" i="5" s="1"/>
  <c r="Q52" i="5"/>
  <c r="R52" i="5" s="1"/>
  <c r="Q50" i="5"/>
  <c r="R50" i="5" s="1"/>
  <c r="Q48" i="5"/>
  <c r="R48" i="5" s="1"/>
  <c r="Q46" i="5"/>
  <c r="R46" i="5" s="1"/>
  <c r="Q44" i="5"/>
  <c r="R44" i="5" s="1"/>
  <c r="Q42" i="5"/>
  <c r="R42" i="5" s="1"/>
  <c r="Q40" i="5"/>
  <c r="R40" i="5" s="1"/>
  <c r="Q38" i="5"/>
  <c r="R38" i="5" s="1"/>
  <c r="Q36" i="5"/>
  <c r="R36" i="5" s="1"/>
  <c r="Q58" i="5"/>
  <c r="Q30" i="5"/>
  <c r="R30" i="5" s="1"/>
  <c r="Q106" i="5"/>
  <c r="R106" i="5" s="1"/>
  <c r="Q104" i="5"/>
  <c r="R104" i="5" s="1"/>
  <c r="Q102" i="5"/>
  <c r="R102" i="5" s="1"/>
  <c r="Q100" i="5"/>
  <c r="R100" i="5" s="1"/>
  <c r="Q98" i="5"/>
  <c r="R98" i="5" s="1"/>
  <c r="Q96" i="5"/>
  <c r="R96" i="5" s="1"/>
  <c r="Q94" i="5"/>
  <c r="R94" i="5" s="1"/>
  <c r="Q92" i="5"/>
  <c r="R92" i="5" s="1"/>
  <c r="Q90" i="5"/>
  <c r="R90" i="5" s="1"/>
  <c r="Q88" i="5"/>
  <c r="R88" i="5" s="1"/>
  <c r="Q86" i="5"/>
  <c r="R86" i="5" s="1"/>
  <c r="Q84" i="5"/>
  <c r="R84" i="5" s="1"/>
  <c r="Q82" i="5"/>
  <c r="R82" i="5" s="1"/>
  <c r="Q81" i="5"/>
  <c r="Q80" i="5"/>
  <c r="R80" i="5" s="1"/>
  <c r="Q78" i="5"/>
  <c r="R78" i="5" s="1"/>
  <c r="Q76" i="5"/>
  <c r="R76" i="5" s="1"/>
  <c r="Q74" i="5"/>
  <c r="R74" i="5" s="1"/>
  <c r="Q72" i="5"/>
  <c r="R72" i="5" s="1"/>
  <c r="Q70" i="5"/>
  <c r="R70" i="5" s="1"/>
  <c r="Q68" i="5"/>
  <c r="R68" i="5" s="1"/>
  <c r="Q66" i="5"/>
  <c r="R66" i="5" s="1"/>
  <c r="Q64" i="5"/>
  <c r="R64" i="5" s="1"/>
  <c r="Q62" i="5"/>
  <c r="R62" i="5" s="1"/>
  <c r="Q60" i="5"/>
  <c r="R60" i="5" s="1"/>
  <c r="Q26" i="5"/>
  <c r="R26" i="5" s="1"/>
  <c r="Q18" i="5"/>
  <c r="R18" i="5" s="1"/>
  <c r="Q16" i="5"/>
  <c r="R16" i="5" s="1"/>
  <c r="Q14" i="5"/>
  <c r="R14" i="5" s="1"/>
  <c r="Q12" i="5"/>
  <c r="R12" i="5" s="1"/>
  <c r="Q10" i="5"/>
  <c r="R10" i="5" s="1"/>
  <c r="Q8" i="5"/>
  <c r="R8" i="5" s="1"/>
  <c r="Q31" i="5"/>
  <c r="Q20" i="5"/>
  <c r="R20" i="5" s="1"/>
  <c r="U3" i="5"/>
  <c r="Q24" i="5"/>
  <c r="R24" i="5" s="1"/>
  <c r="Q22" i="5"/>
  <c r="R22" i="5" s="1"/>
  <c r="Q6" i="5"/>
  <c r="Q34" i="5"/>
  <c r="R34" i="5" s="1"/>
  <c r="Q32" i="5"/>
  <c r="R32" i="5" s="1"/>
  <c r="Q28" i="5"/>
  <c r="R28" i="5" s="1"/>
  <c r="Q45" i="18"/>
  <c r="K25" i="19"/>
  <c r="S11" i="18"/>
  <c r="Q47" i="19"/>
  <c r="Q27" i="9"/>
  <c r="Q48" i="19"/>
  <c r="S35" i="18"/>
  <c r="AD41" i="19"/>
  <c r="U41" i="19" s="1"/>
  <c r="AC7" i="9"/>
  <c r="AC11" i="9" s="1"/>
  <c r="M11" i="9" s="1"/>
  <c r="Q43" i="9"/>
  <c r="K35" i="18"/>
  <c r="AC25" i="19"/>
  <c r="M25" i="19" s="1"/>
  <c r="R35" i="18"/>
  <c r="Q38" i="9"/>
  <c r="K49" i="9"/>
  <c r="P43" i="19"/>
  <c r="Q43" i="19"/>
  <c r="D106" i="5"/>
  <c r="E106" i="5" s="1"/>
  <c r="D104" i="5"/>
  <c r="E104" i="5" s="1"/>
  <c r="D102" i="5"/>
  <c r="E102" i="5" s="1"/>
  <c r="D100" i="5"/>
  <c r="E100" i="5" s="1"/>
  <c r="D98" i="5"/>
  <c r="E98" i="5" s="1"/>
  <c r="D96" i="5"/>
  <c r="E96" i="5" s="1"/>
  <c r="D94" i="5"/>
  <c r="E94" i="5" s="1"/>
  <c r="D92" i="5"/>
  <c r="E92" i="5" s="1"/>
  <c r="D90" i="5"/>
  <c r="E90" i="5" s="1"/>
  <c r="D88" i="5"/>
  <c r="E88" i="5" s="1"/>
  <c r="D86" i="5"/>
  <c r="E86" i="5" s="1"/>
  <c r="D84" i="5"/>
  <c r="E84" i="5" s="1"/>
  <c r="D82" i="5"/>
  <c r="E82" i="5" s="1"/>
  <c r="D80" i="5"/>
  <c r="E80" i="5" s="1"/>
  <c r="D78" i="5"/>
  <c r="E78" i="5" s="1"/>
  <c r="D76" i="5"/>
  <c r="E76" i="5" s="1"/>
  <c r="D74" i="5"/>
  <c r="E74" i="5" s="1"/>
  <c r="D72" i="5"/>
  <c r="E72" i="5" s="1"/>
  <c r="D70" i="5"/>
  <c r="E70" i="5" s="1"/>
  <c r="D68" i="5"/>
  <c r="E68" i="5" s="1"/>
  <c r="D66" i="5"/>
  <c r="E66" i="5" s="1"/>
  <c r="D64" i="5"/>
  <c r="E64" i="5" s="1"/>
  <c r="D62" i="5"/>
  <c r="E62" i="5" s="1"/>
  <c r="D60" i="5"/>
  <c r="E60" i="5" s="1"/>
  <c r="D31" i="5"/>
  <c r="D54" i="5"/>
  <c r="E54" i="5" s="1"/>
  <c r="D36" i="5"/>
  <c r="E36" i="5" s="1"/>
  <c r="D34" i="5"/>
  <c r="E34" i="5" s="1"/>
  <c r="D32" i="5"/>
  <c r="E32" i="5" s="1"/>
  <c r="D81" i="5"/>
  <c r="D44" i="5"/>
  <c r="E44" i="5" s="1"/>
  <c r="D38" i="5"/>
  <c r="E38" i="5" s="1"/>
  <c r="D28" i="5"/>
  <c r="E28" i="5" s="1"/>
  <c r="D50" i="5"/>
  <c r="E50" i="5" s="1"/>
  <c r="D56" i="5"/>
  <c r="E56" i="5" s="1"/>
  <c r="D40" i="5"/>
  <c r="E40" i="5" s="1"/>
  <c r="D26" i="5"/>
  <c r="E26" i="5" s="1"/>
  <c r="D46" i="5"/>
  <c r="E46" i="5" s="1"/>
  <c r="D20" i="5"/>
  <c r="E20" i="5" s="1"/>
  <c r="D18" i="5"/>
  <c r="E18" i="5" s="1"/>
  <c r="D16" i="5"/>
  <c r="E16" i="5" s="1"/>
  <c r="D14" i="5"/>
  <c r="E14" i="5" s="1"/>
  <c r="D12" i="5"/>
  <c r="E12" i="5" s="1"/>
  <c r="D10" i="5"/>
  <c r="E10" i="5" s="1"/>
  <c r="D8" i="5"/>
  <c r="E8" i="5" s="1"/>
  <c r="D52" i="5"/>
  <c r="E52" i="5" s="1"/>
  <c r="D24" i="5"/>
  <c r="E24" i="5" s="1"/>
  <c r="H3" i="5"/>
  <c r="D58" i="5"/>
  <c r="D42" i="5"/>
  <c r="E42" i="5" s="1"/>
  <c r="D48" i="5"/>
  <c r="E48" i="5" s="1"/>
  <c r="D30" i="5"/>
  <c r="E30" i="5" s="1"/>
  <c r="D22" i="5"/>
  <c r="E22" i="5" s="1"/>
  <c r="D6" i="5"/>
  <c r="Q8" i="19"/>
  <c r="Q11" i="19" s="1"/>
  <c r="AC8" i="19"/>
  <c r="AC11" i="19" s="1"/>
  <c r="M11" i="19" s="1"/>
  <c r="K49" i="19"/>
  <c r="Q46" i="19"/>
  <c r="P46" i="19"/>
  <c r="Q43" i="18"/>
  <c r="P43" i="18"/>
  <c r="K49" i="18"/>
  <c r="S25" i="9"/>
  <c r="AD13" i="18"/>
  <c r="AD25" i="18" s="1"/>
  <c r="U25" i="18" s="1"/>
  <c r="K11" i="19"/>
  <c r="K11" i="18"/>
  <c r="AC7" i="18"/>
  <c r="AC11" i="18" s="1"/>
  <c r="M11" i="18" s="1"/>
  <c r="Q27" i="19"/>
  <c r="R35" i="19"/>
  <c r="AD27" i="19"/>
  <c r="Q46" i="9"/>
  <c r="P46" i="9"/>
  <c r="P27" i="9"/>
  <c r="R35" i="9"/>
  <c r="AD27" i="9"/>
  <c r="K41" i="9"/>
  <c r="P37" i="9"/>
  <c r="Q37" i="9"/>
  <c r="AC22" i="9"/>
  <c r="AC25" i="9" s="1"/>
  <c r="M25" i="9" s="1"/>
  <c r="K25" i="9"/>
  <c r="AD22" i="9"/>
  <c r="AD25" i="9" s="1"/>
  <c r="U25" i="9" s="1"/>
  <c r="T57" i="18" l="1"/>
  <c r="Q35" i="18"/>
  <c r="AD35" i="9"/>
  <c r="U35" i="9" s="1"/>
  <c r="AD11" i="9"/>
  <c r="U11" i="9" s="1"/>
  <c r="BA12" i="5"/>
  <c r="BA10" i="5"/>
  <c r="N26" i="1"/>
  <c r="AE50" i="19"/>
  <c r="U50" i="19" s="1"/>
  <c r="U58" i="19" s="1"/>
  <c r="AK6" i="5" s="1"/>
  <c r="AK8" i="5" s="1"/>
  <c r="AK10" i="5" s="1"/>
  <c r="AK12" i="5" s="1"/>
  <c r="AK14" i="5" s="1"/>
  <c r="AK16" i="5" s="1"/>
  <c r="AK18" i="5" s="1"/>
  <c r="AK20" i="5" s="1"/>
  <c r="AK22" i="5" s="1"/>
  <c r="AK24" i="5" s="1"/>
  <c r="AK26" i="5" s="1"/>
  <c r="AK28" i="5" s="1"/>
  <c r="AK30" i="5" s="1"/>
  <c r="AK32" i="5" s="1"/>
  <c r="AK34" i="5" s="1"/>
  <c r="AL34" i="5" s="1"/>
  <c r="AD49" i="9"/>
  <c r="U49" i="9" s="1"/>
  <c r="AD49" i="18"/>
  <c r="U49" i="18" s="1"/>
  <c r="BK14" i="5"/>
  <c r="AX16" i="5"/>
  <c r="AY14" i="5"/>
  <c r="AZ14" i="5" s="1"/>
  <c r="BA14" i="5" s="1"/>
  <c r="BF7" i="5"/>
  <c r="BF8" i="5" s="1"/>
  <c r="AE50" i="18"/>
  <c r="U50" i="18" s="1"/>
  <c r="U58" i="18" s="1"/>
  <c r="AE50" i="9"/>
  <c r="U50" i="9" s="1"/>
  <c r="U58" i="9" s="1"/>
  <c r="AC35" i="18"/>
  <c r="M35" i="18" s="1"/>
  <c r="AC35" i="19"/>
  <c r="M35" i="19" s="1"/>
  <c r="BH14" i="5"/>
  <c r="BJ14" i="5" s="1"/>
  <c r="BH24" i="5"/>
  <c r="BJ24" i="5" s="1"/>
  <c r="BH20" i="5"/>
  <c r="BJ20" i="5" s="1"/>
  <c r="BH8" i="5"/>
  <c r="BH18" i="5"/>
  <c r="BJ18" i="5" s="1"/>
  <c r="BH12" i="5"/>
  <c r="BJ12" i="5" s="1"/>
  <c r="BH16" i="5"/>
  <c r="BJ16" i="5" s="1"/>
  <c r="BH22" i="5"/>
  <c r="BJ22" i="5" s="1"/>
  <c r="BH10" i="5"/>
  <c r="BH6" i="5"/>
  <c r="BH26" i="5"/>
  <c r="BJ26" i="5" s="1"/>
  <c r="BH28" i="5"/>
  <c r="BJ28" i="5" s="1"/>
  <c r="BH30" i="5"/>
  <c r="BJ30" i="5" s="1"/>
  <c r="BH32" i="5"/>
  <c r="BJ32" i="5" s="1"/>
  <c r="BH34" i="5"/>
  <c r="BJ34" i="5" s="1"/>
  <c r="BH36" i="5"/>
  <c r="BJ36" i="5" s="1"/>
  <c r="T57" i="9"/>
  <c r="P11" i="9"/>
  <c r="AS15" i="5"/>
  <c r="AS16" i="5" s="1"/>
  <c r="BB42" i="5"/>
  <c r="BD40" i="5"/>
  <c r="BE40" i="5" s="1"/>
  <c r="BH40" i="5"/>
  <c r="BJ40" i="5" s="1"/>
  <c r="P35" i="19"/>
  <c r="AD49" i="19"/>
  <c r="U49" i="19" s="1"/>
  <c r="P41" i="9"/>
  <c r="Q41" i="18"/>
  <c r="Q49" i="9"/>
  <c r="Q55" i="9" s="1"/>
  <c r="Q11" i="9"/>
  <c r="P35" i="18"/>
  <c r="Q41" i="19"/>
  <c r="T57" i="19"/>
  <c r="P41" i="19"/>
  <c r="S57" i="19"/>
  <c r="AD35" i="19"/>
  <c r="U35" i="19" s="1"/>
  <c r="P41" i="18"/>
  <c r="Q35" i="9"/>
  <c r="P35" i="9"/>
  <c r="AD35" i="18"/>
  <c r="U35" i="18" s="1"/>
  <c r="Q41" i="9"/>
  <c r="P49" i="9"/>
  <c r="P55" i="9" s="1"/>
  <c r="K57" i="18"/>
  <c r="Q49" i="18"/>
  <c r="Q55" i="18" s="1"/>
  <c r="K57" i="19"/>
  <c r="AC49" i="19"/>
  <c r="M49" i="19" s="1"/>
  <c r="Q49" i="19"/>
  <c r="Q55" i="19" s="1"/>
  <c r="P49" i="18"/>
  <c r="P55" i="18" s="1"/>
  <c r="P49" i="19"/>
  <c r="Q35" i="19"/>
  <c r="S57" i="18"/>
  <c r="AC49" i="18"/>
  <c r="M49" i="18" s="1"/>
  <c r="AC49" i="9"/>
  <c r="M49" i="9" s="1"/>
  <c r="S57" i="9"/>
  <c r="H106" i="5"/>
  <c r="H104" i="5"/>
  <c r="H102" i="5"/>
  <c r="H100" i="5"/>
  <c r="H98" i="5"/>
  <c r="H96" i="5"/>
  <c r="H94" i="5"/>
  <c r="H92" i="5"/>
  <c r="H90" i="5"/>
  <c r="H88" i="5"/>
  <c r="H86" i="5"/>
  <c r="H84" i="5"/>
  <c r="H82" i="5"/>
  <c r="H80" i="5"/>
  <c r="H78" i="5"/>
  <c r="H76" i="5"/>
  <c r="H74" i="5"/>
  <c r="H72" i="5"/>
  <c r="H70" i="5"/>
  <c r="H68" i="5"/>
  <c r="H66" i="5"/>
  <c r="H64" i="5"/>
  <c r="H62" i="5"/>
  <c r="H60" i="5"/>
  <c r="H56" i="5"/>
  <c r="H54" i="5"/>
  <c r="H52" i="5"/>
  <c r="H50" i="5"/>
  <c r="H48" i="5"/>
  <c r="H46" i="5"/>
  <c r="H44" i="5"/>
  <c r="H42" i="5"/>
  <c r="H40" i="5"/>
  <c r="H58" i="5"/>
  <c r="H30" i="5"/>
  <c r="H28" i="5"/>
  <c r="H26" i="5"/>
  <c r="H24" i="5"/>
  <c r="H22" i="5"/>
  <c r="H20" i="5"/>
  <c r="H38" i="5"/>
  <c r="H18" i="5"/>
  <c r="H16" i="5"/>
  <c r="H14" i="5"/>
  <c r="H12" i="5"/>
  <c r="H10" i="5"/>
  <c r="H8" i="5"/>
  <c r="H6" i="5"/>
  <c r="H36" i="5"/>
  <c r="H34" i="5"/>
  <c r="H32" i="5"/>
  <c r="U56" i="5"/>
  <c r="U54" i="5"/>
  <c r="U52" i="5"/>
  <c r="U50" i="5"/>
  <c r="U48" i="5"/>
  <c r="U46" i="5"/>
  <c r="U44" i="5"/>
  <c r="U42" i="5"/>
  <c r="U40" i="5"/>
  <c r="U38" i="5"/>
  <c r="U36" i="5"/>
  <c r="U34" i="5"/>
  <c r="U32" i="5"/>
  <c r="U30" i="5"/>
  <c r="U28" i="5"/>
  <c r="U26" i="5"/>
  <c r="U24" i="5"/>
  <c r="U22" i="5"/>
  <c r="U58" i="5"/>
  <c r="U106" i="5"/>
  <c r="U104" i="5"/>
  <c r="U102" i="5"/>
  <c r="U100" i="5"/>
  <c r="U98" i="5"/>
  <c r="U96" i="5"/>
  <c r="U94" i="5"/>
  <c r="U92" i="5"/>
  <c r="U90" i="5"/>
  <c r="U88" i="5"/>
  <c r="U86" i="5"/>
  <c r="U84" i="5"/>
  <c r="U82" i="5"/>
  <c r="U80" i="5"/>
  <c r="U78" i="5"/>
  <c r="U76" i="5"/>
  <c r="U74" i="5"/>
  <c r="U72" i="5"/>
  <c r="U70" i="5"/>
  <c r="U68" i="5"/>
  <c r="U66" i="5"/>
  <c r="U64" i="5"/>
  <c r="U62" i="5"/>
  <c r="U60" i="5"/>
  <c r="U6" i="5"/>
  <c r="U18" i="5"/>
  <c r="U16" i="5"/>
  <c r="U14" i="5"/>
  <c r="U12" i="5"/>
  <c r="U10" i="5"/>
  <c r="U8" i="5"/>
  <c r="U20" i="5"/>
  <c r="K57" i="9"/>
  <c r="AC41" i="9"/>
  <c r="M41" i="9" s="1"/>
  <c r="U57" i="9" l="1"/>
  <c r="U71" i="9" s="1"/>
  <c r="G6" i="5" s="1"/>
  <c r="G104" i="5" s="1"/>
  <c r="J104" i="5" s="1"/>
  <c r="U57" i="18"/>
  <c r="U71" i="18" s="1"/>
  <c r="W71" i="18" s="1"/>
  <c r="AL32" i="5"/>
  <c r="AL26" i="5"/>
  <c r="AL16" i="5"/>
  <c r="AL8" i="5"/>
  <c r="AL30" i="5"/>
  <c r="AL18" i="5"/>
  <c r="AL22" i="5"/>
  <c r="AL20" i="5"/>
  <c r="AK36" i="5"/>
  <c r="AL36" i="5" s="1"/>
  <c r="AL62" i="5" s="1"/>
  <c r="AL12" i="5"/>
  <c r="U69" i="19"/>
  <c r="W69" i="19" s="1"/>
  <c r="AL6" i="5"/>
  <c r="AL14" i="5"/>
  <c r="AL28" i="5"/>
  <c r="AL10" i="5"/>
  <c r="AL24" i="5"/>
  <c r="BJ8" i="5"/>
  <c r="BL8" i="5"/>
  <c r="BJ6" i="5"/>
  <c r="BL6" i="5"/>
  <c r="BJ10" i="5"/>
  <c r="BL10" i="5"/>
  <c r="BL12" i="5"/>
  <c r="BF9" i="5"/>
  <c r="BF10" i="5" s="1"/>
  <c r="U69" i="18"/>
  <c r="W69" i="18" s="1"/>
  <c r="X6" i="5"/>
  <c r="AX18" i="5"/>
  <c r="AY16" i="5"/>
  <c r="AZ16" i="5" s="1"/>
  <c r="BA16" i="5" s="1"/>
  <c r="BK16" i="5"/>
  <c r="BL14" i="5"/>
  <c r="K6" i="5"/>
  <c r="U69" i="9"/>
  <c r="W69" i="9" s="1"/>
  <c r="AS17" i="5"/>
  <c r="AS18" i="5" s="1"/>
  <c r="BB44" i="5"/>
  <c r="BD42" i="5"/>
  <c r="BE42" i="5" s="1"/>
  <c r="BH42" i="5"/>
  <c r="BJ42" i="5" s="1"/>
  <c r="U57" i="19"/>
  <c r="U71" i="19" s="1"/>
  <c r="AG6" i="5" s="1"/>
  <c r="AJ6" i="5" s="1"/>
  <c r="M57" i="9"/>
  <c r="M65" i="9" s="1"/>
  <c r="C6" i="5" s="1"/>
  <c r="E6" i="5" s="1"/>
  <c r="F6" i="5" s="1"/>
  <c r="P57" i="19"/>
  <c r="P67" i="19" s="1"/>
  <c r="P55" i="19"/>
  <c r="M57" i="19"/>
  <c r="M65" i="19" s="1"/>
  <c r="Q57" i="18"/>
  <c r="Q66" i="18" s="1"/>
  <c r="W66" i="18" s="1"/>
  <c r="P57" i="18"/>
  <c r="P67" i="18" s="1"/>
  <c r="Q57" i="19"/>
  <c r="Q68" i="19" s="1"/>
  <c r="W68" i="19" s="1"/>
  <c r="P57" i="9"/>
  <c r="P67" i="9" s="1"/>
  <c r="Q57" i="9"/>
  <c r="Q66" i="9" s="1"/>
  <c r="W66" i="9" s="1"/>
  <c r="G30" i="5" l="1"/>
  <c r="J30" i="5" s="1"/>
  <c r="G10" i="5"/>
  <c r="J10" i="5" s="1"/>
  <c r="G70" i="5"/>
  <c r="J70" i="5" s="1"/>
  <c r="G18" i="5"/>
  <c r="J18" i="5" s="1"/>
  <c r="G52" i="5"/>
  <c r="J52" i="5" s="1"/>
  <c r="W71" i="9"/>
  <c r="G20" i="5"/>
  <c r="J20" i="5" s="1"/>
  <c r="G24" i="5"/>
  <c r="J24" i="5" s="1"/>
  <c r="G80" i="5"/>
  <c r="J80" i="5" s="1"/>
  <c r="G46" i="5"/>
  <c r="J46" i="5" s="1"/>
  <c r="J6" i="5"/>
  <c r="G54" i="5"/>
  <c r="J54" i="5" s="1"/>
  <c r="G106" i="5"/>
  <c r="J106" i="5" s="1"/>
  <c r="G26" i="5"/>
  <c r="J26" i="5" s="1"/>
  <c r="G16" i="5"/>
  <c r="J16" i="5" s="1"/>
  <c r="G72" i="5"/>
  <c r="J72" i="5" s="1"/>
  <c r="G84" i="5"/>
  <c r="J84" i="5" s="1"/>
  <c r="G90" i="5"/>
  <c r="J90" i="5" s="1"/>
  <c r="G22" i="5"/>
  <c r="J22" i="5" s="1"/>
  <c r="G58" i="5"/>
  <c r="J58" i="5" s="1"/>
  <c r="G68" i="5"/>
  <c r="J68" i="5" s="1"/>
  <c r="G98" i="5"/>
  <c r="J98" i="5" s="1"/>
  <c r="G86" i="5"/>
  <c r="J86" i="5" s="1"/>
  <c r="G36" i="5"/>
  <c r="J36" i="5" s="1"/>
  <c r="G14" i="5"/>
  <c r="J14" i="5" s="1"/>
  <c r="G48" i="5"/>
  <c r="J48" i="5" s="1"/>
  <c r="G50" i="5"/>
  <c r="J50" i="5" s="1"/>
  <c r="G76" i="5"/>
  <c r="J76" i="5" s="1"/>
  <c r="G82" i="5"/>
  <c r="J82" i="5" s="1"/>
  <c r="G40" i="5"/>
  <c r="J40" i="5" s="1"/>
  <c r="G92" i="5"/>
  <c r="J92" i="5" s="1"/>
  <c r="G74" i="5"/>
  <c r="J74" i="5" s="1"/>
  <c r="G96" i="5"/>
  <c r="J96" i="5" s="1"/>
  <c r="G38" i="5"/>
  <c r="J38" i="5" s="1"/>
  <c r="U70" i="9"/>
  <c r="W70" i="9" s="1"/>
  <c r="G34" i="5"/>
  <c r="J34" i="5" s="1"/>
  <c r="G66" i="5"/>
  <c r="J66" i="5" s="1"/>
  <c r="G32" i="5"/>
  <c r="J32" i="5" s="1"/>
  <c r="G62" i="5"/>
  <c r="J62" i="5" s="1"/>
  <c r="G56" i="5"/>
  <c r="J56" i="5" s="1"/>
  <c r="G64" i="5"/>
  <c r="J64" i="5" s="1"/>
  <c r="G12" i="5"/>
  <c r="J12" i="5" s="1"/>
  <c r="G28" i="5"/>
  <c r="J28" i="5" s="1"/>
  <c r="G88" i="5"/>
  <c r="J88" i="5" s="1"/>
  <c r="G78" i="5"/>
  <c r="J78" i="5" s="1"/>
  <c r="G100" i="5"/>
  <c r="J100" i="5" s="1"/>
  <c r="G102" i="5"/>
  <c r="J102" i="5" s="1"/>
  <c r="G8" i="5"/>
  <c r="J8" i="5" s="1"/>
  <c r="G42" i="5"/>
  <c r="J42" i="5" s="1"/>
  <c r="G44" i="5"/>
  <c r="J44" i="5" s="1"/>
  <c r="G94" i="5"/>
  <c r="J94" i="5" s="1"/>
  <c r="G60" i="5"/>
  <c r="J60" i="5" s="1"/>
  <c r="AL94" i="5"/>
  <c r="AL96" i="5"/>
  <c r="AL80" i="5"/>
  <c r="AL84" i="5"/>
  <c r="AL38" i="5"/>
  <c r="AL90" i="5"/>
  <c r="AL74" i="5"/>
  <c r="AL58" i="5"/>
  <c r="AL40" i="5"/>
  <c r="AL86" i="5"/>
  <c r="AL92" i="5"/>
  <c r="AL70" i="5"/>
  <c r="U70" i="18"/>
  <c r="W70" i="18" s="1"/>
  <c r="T6" i="5"/>
  <c r="T94" i="5" s="1"/>
  <c r="W94" i="5" s="1"/>
  <c r="AL76" i="5"/>
  <c r="AL42" i="5"/>
  <c r="AL54" i="5"/>
  <c r="AL60" i="5"/>
  <c r="AL104" i="5"/>
  <c r="AL100" i="5"/>
  <c r="AL44" i="5"/>
  <c r="AL88" i="5"/>
  <c r="AL66" i="5"/>
  <c r="AL72" i="5"/>
  <c r="AL98" i="5"/>
  <c r="BM6" i="5"/>
  <c r="BN6" i="5" s="1"/>
  <c r="AL50" i="5"/>
  <c r="AL46" i="5"/>
  <c r="BM8" i="5"/>
  <c r="BN8" i="5" s="1"/>
  <c r="AL68" i="5"/>
  <c r="AL64" i="5"/>
  <c r="AL106" i="5"/>
  <c r="AL56" i="5"/>
  <c r="AL52" i="5"/>
  <c r="AL48" i="5"/>
  <c r="AL102" i="5"/>
  <c r="AL82" i="5"/>
  <c r="AL78" i="5"/>
  <c r="AX20" i="5"/>
  <c r="AY18" i="5"/>
  <c r="AZ18" i="5" s="1"/>
  <c r="BA18" i="5" s="1"/>
  <c r="X8" i="5"/>
  <c r="Y6" i="5"/>
  <c r="BK18" i="5"/>
  <c r="BL16" i="5"/>
  <c r="BF11" i="5"/>
  <c r="BF12" i="5" s="1"/>
  <c r="BM10" i="5"/>
  <c r="BN10" i="5" s="1"/>
  <c r="F7" i="5"/>
  <c r="F8" i="5" s="1"/>
  <c r="K8" i="5"/>
  <c r="L6" i="5"/>
  <c r="M6" i="5" s="1"/>
  <c r="N6" i="5" s="1"/>
  <c r="W71" i="19"/>
  <c r="AS19" i="5"/>
  <c r="AS20" i="5" s="1"/>
  <c r="BB46" i="5"/>
  <c r="BD44" i="5"/>
  <c r="BE44" i="5" s="1"/>
  <c r="BH44" i="5"/>
  <c r="BJ44" i="5" s="1"/>
  <c r="U70" i="19"/>
  <c r="W70" i="19" s="1"/>
  <c r="W65" i="19"/>
  <c r="AC6" i="5"/>
  <c r="AE6" i="5" s="1"/>
  <c r="AF6" i="5" s="1"/>
  <c r="P31" i="5"/>
  <c r="R31" i="5" s="1"/>
  <c r="Q68" i="18"/>
  <c r="P81" i="5" s="1"/>
  <c r="R81" i="5" s="1"/>
  <c r="Q67" i="18"/>
  <c r="W67" i="18" s="1"/>
  <c r="AC81" i="5"/>
  <c r="AE81" i="5" s="1"/>
  <c r="C31" i="5"/>
  <c r="E31" i="5" s="1"/>
  <c r="W65" i="9"/>
  <c r="Q67" i="9"/>
  <c r="W67" i="9" s="1"/>
  <c r="Q66" i="19"/>
  <c r="Q67" i="19"/>
  <c r="W67" i="19" s="1"/>
  <c r="Q68" i="9"/>
  <c r="C81" i="5" s="1"/>
  <c r="E81" i="5" s="1"/>
  <c r="AG100" i="5"/>
  <c r="AJ100" i="5" s="1"/>
  <c r="AG84" i="5"/>
  <c r="AJ84" i="5" s="1"/>
  <c r="AG68" i="5"/>
  <c r="AJ68" i="5" s="1"/>
  <c r="AG26" i="5"/>
  <c r="AG44" i="5"/>
  <c r="AJ44" i="5" s="1"/>
  <c r="AG54" i="5"/>
  <c r="AJ54" i="5" s="1"/>
  <c r="AG106" i="5"/>
  <c r="AJ106" i="5" s="1"/>
  <c r="AG74" i="5"/>
  <c r="AJ74" i="5" s="1"/>
  <c r="AG16" i="5"/>
  <c r="AG50" i="5"/>
  <c r="AJ50" i="5" s="1"/>
  <c r="AG78" i="5"/>
  <c r="AJ78" i="5" s="1"/>
  <c r="AG102" i="5"/>
  <c r="AJ102" i="5" s="1"/>
  <c r="AG22" i="5"/>
  <c r="AG96" i="5"/>
  <c r="AJ96" i="5" s="1"/>
  <c r="AG80" i="5"/>
  <c r="AJ80" i="5" s="1"/>
  <c r="AG64" i="5"/>
  <c r="AJ64" i="5" s="1"/>
  <c r="AG56" i="5"/>
  <c r="AJ56" i="5" s="1"/>
  <c r="AG40" i="5"/>
  <c r="AJ40" i="5" s="1"/>
  <c r="AG46" i="5"/>
  <c r="AJ46" i="5" s="1"/>
  <c r="AG98" i="5"/>
  <c r="AJ98" i="5" s="1"/>
  <c r="AG66" i="5"/>
  <c r="AJ66" i="5" s="1"/>
  <c r="AG12" i="5"/>
  <c r="AG42" i="5"/>
  <c r="AJ42" i="5" s="1"/>
  <c r="AG62" i="5"/>
  <c r="AJ62" i="5" s="1"/>
  <c r="AG86" i="5"/>
  <c r="AJ86" i="5" s="1"/>
  <c r="AG14" i="5"/>
  <c r="AG92" i="5"/>
  <c r="AJ92" i="5" s="1"/>
  <c r="AG76" i="5"/>
  <c r="AJ76" i="5" s="1"/>
  <c r="AG60" i="5"/>
  <c r="AJ60" i="5" s="1"/>
  <c r="AG52" i="5"/>
  <c r="AJ52" i="5" s="1"/>
  <c r="AG36" i="5"/>
  <c r="AG38" i="5"/>
  <c r="AJ38" i="5" s="1"/>
  <c r="AG90" i="5"/>
  <c r="AJ90" i="5" s="1"/>
  <c r="AG58" i="5"/>
  <c r="AJ58" i="5" s="1"/>
  <c r="AG8" i="5"/>
  <c r="AG24" i="5"/>
  <c r="AG18" i="5"/>
  <c r="AG70" i="5"/>
  <c r="AJ70" i="5" s="1"/>
  <c r="AG104" i="5"/>
  <c r="AJ104" i="5" s="1"/>
  <c r="AG88" i="5"/>
  <c r="AJ88" i="5" s="1"/>
  <c r="AG72" i="5"/>
  <c r="AJ72" i="5" s="1"/>
  <c r="AG30" i="5"/>
  <c r="AG48" i="5"/>
  <c r="AJ48" i="5" s="1"/>
  <c r="AG32" i="5"/>
  <c r="AG28" i="5"/>
  <c r="AG82" i="5"/>
  <c r="AJ82" i="5" s="1"/>
  <c r="AG20" i="5"/>
  <c r="AG94" i="5"/>
  <c r="AJ94" i="5" s="1"/>
  <c r="AG10" i="5"/>
  <c r="AG34" i="5"/>
  <c r="T12" i="5" l="1"/>
  <c r="W12" i="5" s="1"/>
  <c r="T16" i="5"/>
  <c r="W16" i="5" s="1"/>
  <c r="T72" i="5"/>
  <c r="W72" i="5" s="1"/>
  <c r="T64" i="5"/>
  <c r="W64" i="5" s="1"/>
  <c r="T80" i="5"/>
  <c r="W80" i="5" s="1"/>
  <c r="T102" i="5"/>
  <c r="W102" i="5" s="1"/>
  <c r="T30" i="5"/>
  <c r="W30" i="5" s="1"/>
  <c r="T32" i="5"/>
  <c r="W32" i="5" s="1"/>
  <c r="T60" i="5"/>
  <c r="W60" i="5" s="1"/>
  <c r="T36" i="5"/>
  <c r="W36" i="5" s="1"/>
  <c r="W6" i="5"/>
  <c r="T88" i="5"/>
  <c r="W88" i="5" s="1"/>
  <c r="T96" i="5"/>
  <c r="W96" i="5" s="1"/>
  <c r="T98" i="5"/>
  <c r="W98" i="5" s="1"/>
  <c r="T40" i="5"/>
  <c r="W40" i="5" s="1"/>
  <c r="T78" i="5"/>
  <c r="W78" i="5" s="1"/>
  <c r="T66" i="5"/>
  <c r="W66" i="5" s="1"/>
  <c r="T70" i="5"/>
  <c r="W70" i="5" s="1"/>
  <c r="T50" i="5"/>
  <c r="W50" i="5" s="1"/>
  <c r="T86" i="5"/>
  <c r="W86" i="5" s="1"/>
  <c r="T8" i="5"/>
  <c r="W8" i="5" s="1"/>
  <c r="T74" i="5"/>
  <c r="W74" i="5" s="1"/>
  <c r="T58" i="5"/>
  <c r="W58" i="5" s="1"/>
  <c r="T38" i="5"/>
  <c r="W38" i="5" s="1"/>
  <c r="T48" i="5"/>
  <c r="W48" i="5" s="1"/>
  <c r="T20" i="5"/>
  <c r="W20" i="5" s="1"/>
  <c r="T76" i="5"/>
  <c r="W76" i="5" s="1"/>
  <c r="T92" i="5"/>
  <c r="W92" i="5" s="1"/>
  <c r="T56" i="5"/>
  <c r="W56" i="5" s="1"/>
  <c r="T42" i="5"/>
  <c r="W42" i="5" s="1"/>
  <c r="T68" i="5"/>
  <c r="W68" i="5" s="1"/>
  <c r="T34" i="5"/>
  <c r="W34" i="5" s="1"/>
  <c r="T28" i="5"/>
  <c r="W28" i="5" s="1"/>
  <c r="T54" i="5"/>
  <c r="W54" i="5" s="1"/>
  <c r="T106" i="5"/>
  <c r="W106" i="5" s="1"/>
  <c r="T18" i="5"/>
  <c r="W18" i="5" s="1"/>
  <c r="T52" i="5"/>
  <c r="W52" i="5" s="1"/>
  <c r="T90" i="5"/>
  <c r="W90" i="5" s="1"/>
  <c r="T10" i="5"/>
  <c r="W10" i="5" s="1"/>
  <c r="T26" i="5"/>
  <c r="W26" i="5" s="1"/>
  <c r="T14" i="5"/>
  <c r="W14" i="5" s="1"/>
  <c r="T24" i="5"/>
  <c r="W24" i="5" s="1"/>
  <c r="T82" i="5"/>
  <c r="W82" i="5" s="1"/>
  <c r="T62" i="5"/>
  <c r="W62" i="5" s="1"/>
  <c r="T100" i="5"/>
  <c r="W100" i="5" s="1"/>
  <c r="T22" i="5"/>
  <c r="W22" i="5" s="1"/>
  <c r="T46" i="5"/>
  <c r="W46" i="5" s="1"/>
  <c r="T84" i="5"/>
  <c r="W84" i="5" s="1"/>
  <c r="T104" i="5"/>
  <c r="W104" i="5" s="1"/>
  <c r="T44" i="5"/>
  <c r="W44" i="5" s="1"/>
  <c r="BF13" i="5"/>
  <c r="BF14" i="5" s="1"/>
  <c r="BM12" i="5"/>
  <c r="BN12" i="5" s="1"/>
  <c r="BK20" i="5"/>
  <c r="BL18" i="5"/>
  <c r="X10" i="5"/>
  <c r="Y8" i="5"/>
  <c r="AX22" i="5"/>
  <c r="AY20" i="5"/>
  <c r="AZ20" i="5" s="1"/>
  <c r="BA20" i="5" s="1"/>
  <c r="W72" i="9"/>
  <c r="K20" i="1" s="1"/>
  <c r="K25" i="1" s="1"/>
  <c r="K10" i="5"/>
  <c r="L8" i="5"/>
  <c r="M8" i="5" s="1"/>
  <c r="N8" i="5" s="1"/>
  <c r="F9" i="5"/>
  <c r="F10" i="5" s="1"/>
  <c r="AF7" i="5"/>
  <c r="AF8" i="5" s="1"/>
  <c r="AM6" i="5"/>
  <c r="AN6" i="5" s="1"/>
  <c r="AJ24" i="5"/>
  <c r="AJ26" i="5"/>
  <c r="AJ12" i="5"/>
  <c r="AJ28" i="5"/>
  <c r="AJ18" i="5"/>
  <c r="AJ32" i="5"/>
  <c r="AJ8" i="5"/>
  <c r="AJ22" i="5"/>
  <c r="AJ34" i="5"/>
  <c r="AJ30" i="5"/>
  <c r="AJ14" i="5"/>
  <c r="AJ10" i="5"/>
  <c r="AJ16" i="5"/>
  <c r="AJ20" i="5"/>
  <c r="AJ36" i="5"/>
  <c r="AS21" i="5"/>
  <c r="AS22" i="5" s="1"/>
  <c r="BB48" i="5"/>
  <c r="BD46" i="5"/>
  <c r="BE46" i="5" s="1"/>
  <c r="BH46" i="5"/>
  <c r="BJ46" i="5" s="1"/>
  <c r="P58" i="5"/>
  <c r="R58" i="5" s="1"/>
  <c r="W68" i="18"/>
  <c r="C58" i="5"/>
  <c r="E58" i="5" s="1"/>
  <c r="W68" i="9"/>
  <c r="W73" i="9" s="1"/>
  <c r="AC58" i="5"/>
  <c r="AE58" i="5" s="1"/>
  <c r="AC31" i="5"/>
  <c r="AE31" i="5" s="1"/>
  <c r="W66" i="19"/>
  <c r="W73" i="19" s="1"/>
  <c r="BM14" i="5" l="1"/>
  <c r="BN14" i="5" s="1"/>
  <c r="BF15" i="5"/>
  <c r="BF16" i="5" s="1"/>
  <c r="AX24" i="5"/>
  <c r="AY22" i="5"/>
  <c r="AZ22" i="5" s="1"/>
  <c r="BA22" i="5" s="1"/>
  <c r="X12" i="5"/>
  <c r="Y10" i="5"/>
  <c r="BK22" i="5"/>
  <c r="BL20" i="5"/>
  <c r="K12" i="5"/>
  <c r="L10" i="5"/>
  <c r="M10" i="5" s="1"/>
  <c r="N10" i="5" s="1"/>
  <c r="F11" i="5"/>
  <c r="F12" i="5" s="1"/>
  <c r="AF9" i="5"/>
  <c r="AF10" i="5" s="1"/>
  <c r="AM8" i="5"/>
  <c r="AN8" i="5" s="1"/>
  <c r="W72" i="19"/>
  <c r="K21" i="1"/>
  <c r="K26" i="1" s="1"/>
  <c r="M109" i="5"/>
  <c r="AS23" i="5"/>
  <c r="AS24" i="5" s="1"/>
  <c r="BB50" i="5"/>
  <c r="BD48" i="5"/>
  <c r="BE48" i="5" s="1"/>
  <c r="BH48" i="5"/>
  <c r="BJ48" i="5" s="1"/>
  <c r="AM109" i="5"/>
  <c r="BK24" i="5" l="1"/>
  <c r="BL22" i="5"/>
  <c r="X14" i="5"/>
  <c r="Y12" i="5"/>
  <c r="AX26" i="5"/>
  <c r="AY24" i="5"/>
  <c r="AZ24" i="5" s="1"/>
  <c r="BA24" i="5" s="1"/>
  <c r="BM16" i="5"/>
  <c r="BN16" i="5" s="1"/>
  <c r="BF17" i="5"/>
  <c r="BF18" i="5" s="1"/>
  <c r="F13" i="5"/>
  <c r="F14" i="5" s="1"/>
  <c r="K14" i="5"/>
  <c r="L12" i="5"/>
  <c r="M12" i="5" s="1"/>
  <c r="N12" i="5" s="1"/>
  <c r="AF11" i="5"/>
  <c r="AF12" i="5" s="1"/>
  <c r="AM10" i="5"/>
  <c r="AN10" i="5" s="1"/>
  <c r="M20" i="1"/>
  <c r="M25" i="1" s="1"/>
  <c r="O25" i="1"/>
  <c r="M21" i="1"/>
  <c r="M26" i="1" s="1"/>
  <c r="O26" i="1"/>
  <c r="AS25" i="5"/>
  <c r="AS26" i="5" s="1"/>
  <c r="BD50" i="5"/>
  <c r="BE50" i="5" s="1"/>
  <c r="BB52" i="5"/>
  <c r="BH50" i="5"/>
  <c r="BJ50" i="5" s="1"/>
  <c r="BM18" i="5" l="1"/>
  <c r="BN18" i="5" s="1"/>
  <c r="BF19" i="5"/>
  <c r="BF20" i="5" s="1"/>
  <c r="AX28" i="5"/>
  <c r="AY26" i="5"/>
  <c r="AZ26" i="5" s="1"/>
  <c r="BA26" i="5" s="1"/>
  <c r="BK26" i="5"/>
  <c r="BL24" i="5"/>
  <c r="X16" i="5"/>
  <c r="Y14" i="5"/>
  <c r="K16" i="5"/>
  <c r="L14" i="5"/>
  <c r="M14" i="5" s="1"/>
  <c r="N14" i="5" s="1"/>
  <c r="F15" i="5"/>
  <c r="F16" i="5" s="1"/>
  <c r="AF13" i="5"/>
  <c r="AF14" i="5" s="1"/>
  <c r="AM12" i="5"/>
  <c r="AN12" i="5" s="1"/>
  <c r="AS27" i="5"/>
  <c r="AS28" i="5" s="1"/>
  <c r="BB54" i="5"/>
  <c r="BD52" i="5"/>
  <c r="BE52" i="5" s="1"/>
  <c r="BH52" i="5"/>
  <c r="BJ52" i="5" s="1"/>
  <c r="AX30" i="5" l="1"/>
  <c r="AY28" i="5"/>
  <c r="AZ28" i="5" s="1"/>
  <c r="BA28" i="5" s="1"/>
  <c r="X18" i="5"/>
  <c r="Y16" i="5"/>
  <c r="BK28" i="5"/>
  <c r="BL26" i="5"/>
  <c r="BM20" i="5"/>
  <c r="BN20" i="5" s="1"/>
  <c r="BF21" i="5"/>
  <c r="BF22" i="5" s="1"/>
  <c r="F17" i="5"/>
  <c r="F18" i="5" s="1"/>
  <c r="K18" i="5"/>
  <c r="L16" i="5"/>
  <c r="M16" i="5" s="1"/>
  <c r="N16" i="5" s="1"/>
  <c r="AM14" i="5"/>
  <c r="AN14" i="5" s="1"/>
  <c r="AF15" i="5"/>
  <c r="AF16" i="5" s="1"/>
  <c r="AS29" i="5"/>
  <c r="AS30" i="5" s="1"/>
  <c r="BB56" i="5"/>
  <c r="BD54" i="5"/>
  <c r="BE54" i="5" s="1"/>
  <c r="BH54" i="5"/>
  <c r="BJ54" i="5" s="1"/>
  <c r="X20" i="5" l="1"/>
  <c r="Y18" i="5"/>
  <c r="BK30" i="5"/>
  <c r="BL28" i="5"/>
  <c r="BM22" i="5"/>
  <c r="BN22" i="5" s="1"/>
  <c r="BF23" i="5"/>
  <c r="BF24" i="5" s="1"/>
  <c r="AX32" i="5"/>
  <c r="AY30" i="5"/>
  <c r="AZ30" i="5" s="1"/>
  <c r="BA30" i="5" s="1"/>
  <c r="K20" i="5"/>
  <c r="L18" i="5"/>
  <c r="M18" i="5" s="1"/>
  <c r="N18" i="5" s="1"/>
  <c r="F19" i="5"/>
  <c r="F20" i="5" s="1"/>
  <c r="AM16" i="5"/>
  <c r="AN16" i="5" s="1"/>
  <c r="AF17" i="5"/>
  <c r="AF18" i="5" s="1"/>
  <c r="AS31" i="5"/>
  <c r="AS32" i="5" s="1"/>
  <c r="BB58" i="5"/>
  <c r="BD56" i="5"/>
  <c r="BE56" i="5" s="1"/>
  <c r="BH56" i="5"/>
  <c r="BJ56" i="5" s="1"/>
  <c r="BM24" i="5" l="1"/>
  <c r="BN24" i="5" s="1"/>
  <c r="BF25" i="5"/>
  <c r="BF26" i="5" s="1"/>
  <c r="AX34" i="5"/>
  <c r="AY32" i="5"/>
  <c r="AZ32" i="5" s="1"/>
  <c r="BA32" i="5" s="1"/>
  <c r="BK32" i="5"/>
  <c r="BL30" i="5"/>
  <c r="X22" i="5"/>
  <c r="Y20" i="5"/>
  <c r="F21" i="5"/>
  <c r="F22" i="5" s="1"/>
  <c r="K22" i="5"/>
  <c r="L20" i="5"/>
  <c r="M20" i="5" s="1"/>
  <c r="N20" i="5" s="1"/>
  <c r="AM18" i="5"/>
  <c r="AN18" i="5" s="1"/>
  <c r="AF19" i="5"/>
  <c r="AF20" i="5" s="1"/>
  <c r="AS33" i="5"/>
  <c r="AS34" i="5" s="1"/>
  <c r="BB60" i="5"/>
  <c r="BD58" i="5"/>
  <c r="BE58" i="5" s="1"/>
  <c r="BH58" i="5"/>
  <c r="BJ58" i="5" s="1"/>
  <c r="BK34" i="5" l="1"/>
  <c r="BL32" i="5"/>
  <c r="X24" i="5"/>
  <c r="Y22" i="5"/>
  <c r="BM26" i="5"/>
  <c r="BN26" i="5" s="1"/>
  <c r="BF27" i="5"/>
  <c r="BF28" i="5" s="1"/>
  <c r="AX36" i="5"/>
  <c r="AY36" i="5" s="1"/>
  <c r="AY34" i="5"/>
  <c r="AZ34" i="5" s="1"/>
  <c r="BA34" i="5" s="1"/>
  <c r="K24" i="5"/>
  <c r="L22" i="5"/>
  <c r="M22" i="5" s="1"/>
  <c r="N22" i="5" s="1"/>
  <c r="F23" i="5"/>
  <c r="F24" i="5" s="1"/>
  <c r="AM20" i="5"/>
  <c r="AN20" i="5" s="1"/>
  <c r="AF21" i="5"/>
  <c r="AF22" i="5" s="1"/>
  <c r="AS35" i="5"/>
  <c r="AS36" i="5" s="1"/>
  <c r="BD60" i="5"/>
  <c r="BE60" i="5" s="1"/>
  <c r="BB62" i="5"/>
  <c r="BH60" i="5"/>
  <c r="BJ60" i="5" s="1"/>
  <c r="AY106" i="5" l="1"/>
  <c r="AY94" i="5"/>
  <c r="AY48" i="5"/>
  <c r="AY92" i="5"/>
  <c r="AY46" i="5"/>
  <c r="AY80" i="5"/>
  <c r="AY44" i="5"/>
  <c r="AY78" i="5"/>
  <c r="AY60" i="5"/>
  <c r="AY76" i="5"/>
  <c r="AY96" i="5"/>
  <c r="AY64" i="5"/>
  <c r="AY62" i="5"/>
  <c r="AY52" i="5"/>
  <c r="AY102" i="5"/>
  <c r="AY74" i="5"/>
  <c r="AY68" i="5"/>
  <c r="AY40" i="5"/>
  <c r="AY90" i="5"/>
  <c r="AY84" i="5"/>
  <c r="AY56" i="5"/>
  <c r="AY100" i="5"/>
  <c r="AY38" i="5"/>
  <c r="AY72" i="5"/>
  <c r="AY50" i="5"/>
  <c r="AY88" i="5"/>
  <c r="AY66" i="5"/>
  <c r="AY54" i="5"/>
  <c r="AY104" i="5"/>
  <c r="AY58" i="5"/>
  <c r="AY82" i="5"/>
  <c r="AY70" i="5"/>
  <c r="AY42" i="5"/>
  <c r="AY98" i="5"/>
  <c r="AY86" i="5"/>
  <c r="X26" i="5"/>
  <c r="Y24" i="5"/>
  <c r="BM28" i="5"/>
  <c r="BN28" i="5" s="1"/>
  <c r="BF29" i="5"/>
  <c r="BF30" i="5" s="1"/>
  <c r="AZ36" i="5"/>
  <c r="BA36" i="5" s="1"/>
  <c r="BK36" i="5"/>
  <c r="BL36" i="5" s="1"/>
  <c r="BL34" i="5"/>
  <c r="F25" i="5"/>
  <c r="F26" i="5" s="1"/>
  <c r="K26" i="5"/>
  <c r="L24" i="5"/>
  <c r="M24" i="5" s="1"/>
  <c r="N24" i="5" s="1"/>
  <c r="AM22" i="5"/>
  <c r="AN22" i="5" s="1"/>
  <c r="AF23" i="5"/>
  <c r="AF24" i="5" s="1"/>
  <c r="AS37" i="5"/>
  <c r="AS38" i="5" s="1"/>
  <c r="BB64" i="5"/>
  <c r="BD62" i="5"/>
  <c r="BE62" i="5" s="1"/>
  <c r="BH62" i="5"/>
  <c r="BJ62" i="5" s="1"/>
  <c r="BM30" i="5" l="1"/>
  <c r="BN30" i="5" s="1"/>
  <c r="BF31" i="5"/>
  <c r="BF32" i="5" s="1"/>
  <c r="X28" i="5"/>
  <c r="Y26" i="5"/>
  <c r="AZ38" i="5"/>
  <c r="BA38" i="5" s="1"/>
  <c r="BL104" i="5"/>
  <c r="BL80" i="5"/>
  <c r="BL58" i="5"/>
  <c r="BL106" i="5"/>
  <c r="BL78" i="5"/>
  <c r="BL54" i="5"/>
  <c r="BL102" i="5"/>
  <c r="BL76" i="5"/>
  <c r="BL48" i="5"/>
  <c r="BL86" i="5"/>
  <c r="BL96" i="5"/>
  <c r="BL74" i="5"/>
  <c r="BL46" i="5"/>
  <c r="BL60" i="5"/>
  <c r="BL94" i="5"/>
  <c r="BL70" i="5"/>
  <c r="BL44" i="5"/>
  <c r="BL92" i="5"/>
  <c r="BL64" i="5"/>
  <c r="BL42" i="5"/>
  <c r="BL90" i="5"/>
  <c r="BL62" i="5"/>
  <c r="BL38" i="5"/>
  <c r="BL50" i="5"/>
  <c r="BL40" i="5"/>
  <c r="BL66" i="5"/>
  <c r="BL56" i="5"/>
  <c r="BL82" i="5"/>
  <c r="BL72" i="5"/>
  <c r="BL98" i="5"/>
  <c r="BL88" i="5"/>
  <c r="BL52" i="5"/>
  <c r="BL68" i="5"/>
  <c r="BL84" i="5"/>
  <c r="BL100" i="5"/>
  <c r="K28" i="5"/>
  <c r="L26" i="5"/>
  <c r="M26" i="5" s="1"/>
  <c r="N26" i="5" s="1"/>
  <c r="F27" i="5"/>
  <c r="F28" i="5" s="1"/>
  <c r="AM24" i="5"/>
  <c r="AN24" i="5" s="1"/>
  <c r="AF25" i="5"/>
  <c r="AF26" i="5" s="1"/>
  <c r="AS39" i="5"/>
  <c r="AS40" i="5" s="1"/>
  <c r="AZ40" i="5" s="1"/>
  <c r="BB66" i="5"/>
  <c r="BD64" i="5"/>
  <c r="BE64" i="5" s="1"/>
  <c r="BH64" i="5"/>
  <c r="BJ64" i="5" s="1"/>
  <c r="X30" i="5" l="1"/>
  <c r="Y28" i="5"/>
  <c r="BM32" i="5"/>
  <c r="BN32" i="5" s="1"/>
  <c r="BF33" i="5"/>
  <c r="BF34" i="5" s="1"/>
  <c r="F29" i="5"/>
  <c r="F30" i="5" s="1"/>
  <c r="K30" i="5"/>
  <c r="L28" i="5"/>
  <c r="M28" i="5" s="1"/>
  <c r="N28" i="5" s="1"/>
  <c r="AM26" i="5"/>
  <c r="AN26" i="5" s="1"/>
  <c r="AF27" i="5"/>
  <c r="AF28" i="5" s="1"/>
  <c r="BA40" i="5"/>
  <c r="AS41" i="5"/>
  <c r="AS42" i="5" s="1"/>
  <c r="AZ42" i="5" s="1"/>
  <c r="BB68" i="5"/>
  <c r="BD66" i="5"/>
  <c r="BE66" i="5" s="1"/>
  <c r="BH66" i="5"/>
  <c r="BJ66" i="5" s="1"/>
  <c r="BM34" i="5" l="1"/>
  <c r="BN34" i="5" s="1"/>
  <c r="BF35" i="5"/>
  <c r="BF36" i="5" s="1"/>
  <c r="X32" i="5"/>
  <c r="Y30" i="5"/>
  <c r="K32" i="5"/>
  <c r="L30" i="5"/>
  <c r="M30" i="5" s="1"/>
  <c r="N30" i="5" s="1"/>
  <c r="F31" i="5"/>
  <c r="F32" i="5" s="1"/>
  <c r="AM28" i="5"/>
  <c r="AN28" i="5" s="1"/>
  <c r="AF29" i="5"/>
  <c r="AF30" i="5" s="1"/>
  <c r="AS43" i="5"/>
  <c r="AS44" i="5" s="1"/>
  <c r="AZ44" i="5" s="1"/>
  <c r="BA42" i="5"/>
  <c r="BB70" i="5"/>
  <c r="BD68" i="5"/>
  <c r="BE68" i="5" s="1"/>
  <c r="BH68" i="5"/>
  <c r="BJ68" i="5" s="1"/>
  <c r="X34" i="5" l="1"/>
  <c r="Y32" i="5"/>
  <c r="BM36" i="5"/>
  <c r="BN36" i="5" s="1"/>
  <c r="BF37" i="5"/>
  <c r="BF38" i="5" s="1"/>
  <c r="F33" i="5"/>
  <c r="F34" i="5" s="1"/>
  <c r="K34" i="5"/>
  <c r="L32" i="5"/>
  <c r="M32" i="5" s="1"/>
  <c r="N32" i="5" s="1"/>
  <c r="AM30" i="5"/>
  <c r="AN30" i="5" s="1"/>
  <c r="AF31" i="5"/>
  <c r="AF32" i="5" s="1"/>
  <c r="BA44" i="5"/>
  <c r="AS45" i="5"/>
  <c r="AS46" i="5" s="1"/>
  <c r="AZ46" i="5" s="1"/>
  <c r="BD70" i="5"/>
  <c r="BE70" i="5" s="1"/>
  <c r="BB72" i="5"/>
  <c r="BH70" i="5"/>
  <c r="BJ70" i="5" s="1"/>
  <c r="BM38" i="5" l="1"/>
  <c r="BN38" i="5" s="1"/>
  <c r="BF39" i="5"/>
  <c r="BF40" i="5" s="1"/>
  <c r="X36" i="5"/>
  <c r="Y36" i="5" s="1"/>
  <c r="Y34" i="5"/>
  <c r="K36" i="5"/>
  <c r="L36" i="5" s="1"/>
  <c r="L34" i="5"/>
  <c r="M34" i="5" s="1"/>
  <c r="N34" i="5" s="1"/>
  <c r="F35" i="5"/>
  <c r="F36" i="5" s="1"/>
  <c r="AM32" i="5"/>
  <c r="AN32" i="5" s="1"/>
  <c r="AF33" i="5"/>
  <c r="AF34" i="5" s="1"/>
  <c r="AS47" i="5"/>
  <c r="AS48" i="5" s="1"/>
  <c r="AZ48" i="5" s="1"/>
  <c r="BA46" i="5"/>
  <c r="BB74" i="5"/>
  <c r="BD72" i="5"/>
  <c r="BE72" i="5" s="1"/>
  <c r="BH72" i="5"/>
  <c r="BJ72" i="5" s="1"/>
  <c r="Y106" i="5" l="1"/>
  <c r="Y66" i="5"/>
  <c r="Y64" i="5"/>
  <c r="Y62" i="5"/>
  <c r="Y96" i="5"/>
  <c r="Y60" i="5"/>
  <c r="Y76" i="5"/>
  <c r="Y92" i="5"/>
  <c r="Y50" i="5"/>
  <c r="Y80" i="5"/>
  <c r="Y48" i="5"/>
  <c r="Y44" i="5"/>
  <c r="Y78" i="5"/>
  <c r="Y46" i="5"/>
  <c r="Y100" i="5"/>
  <c r="Y38" i="5"/>
  <c r="Y88" i="5"/>
  <c r="Y56" i="5"/>
  <c r="Y94" i="5"/>
  <c r="Y54" i="5"/>
  <c r="Y104" i="5"/>
  <c r="Y82" i="5"/>
  <c r="Y42" i="5"/>
  <c r="Y98" i="5"/>
  <c r="Y58" i="5"/>
  <c r="Y70" i="5"/>
  <c r="Y86" i="5"/>
  <c r="Y72" i="5"/>
  <c r="Y52" i="5"/>
  <c r="Y102" i="5"/>
  <c r="Y74" i="5"/>
  <c r="Y68" i="5"/>
  <c r="Y40" i="5"/>
  <c r="Y90" i="5"/>
  <c r="Y84" i="5"/>
  <c r="BM40" i="5"/>
  <c r="BN40" i="5" s="1"/>
  <c r="BF41" i="5"/>
  <c r="BF42" i="5" s="1"/>
  <c r="M36" i="5"/>
  <c r="N36" i="5" s="1"/>
  <c r="F37" i="5"/>
  <c r="F38" i="5" s="1"/>
  <c r="L106" i="5"/>
  <c r="L92" i="5"/>
  <c r="L76" i="5"/>
  <c r="L60" i="5"/>
  <c r="L44" i="5"/>
  <c r="L94" i="5"/>
  <c r="L66" i="5"/>
  <c r="L54" i="5"/>
  <c r="L88" i="5"/>
  <c r="L48" i="5"/>
  <c r="L82" i="5"/>
  <c r="L70" i="5"/>
  <c r="L42" i="5"/>
  <c r="L64" i="5"/>
  <c r="L98" i="5"/>
  <c r="L86" i="5"/>
  <c r="L58" i="5"/>
  <c r="L80" i="5"/>
  <c r="L52" i="5"/>
  <c r="L102" i="5"/>
  <c r="L74" i="5"/>
  <c r="L72" i="5"/>
  <c r="L96" i="5"/>
  <c r="L100" i="5"/>
  <c r="L56" i="5"/>
  <c r="L90" i="5"/>
  <c r="L62" i="5"/>
  <c r="L68" i="5"/>
  <c r="L104" i="5"/>
  <c r="L78" i="5"/>
  <c r="L84" i="5"/>
  <c r="L40" i="5"/>
  <c r="L46" i="5"/>
  <c r="L50" i="5"/>
  <c r="L38" i="5"/>
  <c r="AM34" i="5"/>
  <c r="AN34" i="5" s="1"/>
  <c r="AF35" i="5"/>
  <c r="AF36" i="5" s="1"/>
  <c r="BA48" i="5"/>
  <c r="AS49" i="5"/>
  <c r="AS50" i="5" s="1"/>
  <c r="AZ50" i="5" s="1"/>
  <c r="BB76" i="5"/>
  <c r="BD74" i="5"/>
  <c r="BE74" i="5" s="1"/>
  <c r="BH74" i="5"/>
  <c r="BJ74" i="5" s="1"/>
  <c r="BM42" i="5" l="1"/>
  <c r="BN42" i="5" s="1"/>
  <c r="BF43" i="5"/>
  <c r="BF44" i="5" s="1"/>
  <c r="M38" i="5"/>
  <c r="N38" i="5" s="1"/>
  <c r="F39" i="5"/>
  <c r="F40" i="5" s="1"/>
  <c r="AM36" i="5"/>
  <c r="AN36" i="5" s="1"/>
  <c r="AF37" i="5"/>
  <c r="AF38" i="5" s="1"/>
  <c r="AS51" i="5"/>
  <c r="AS52" i="5" s="1"/>
  <c r="AZ52" i="5" s="1"/>
  <c r="BA50" i="5"/>
  <c r="BD76" i="5"/>
  <c r="BE76" i="5" s="1"/>
  <c r="BB78" i="5"/>
  <c r="BH76" i="5"/>
  <c r="BJ76" i="5" s="1"/>
  <c r="BM44" i="5" l="1"/>
  <c r="BN44" i="5" s="1"/>
  <c r="BF45" i="5"/>
  <c r="BF46" i="5" s="1"/>
  <c r="M40" i="5"/>
  <c r="N40" i="5" s="1"/>
  <c r="F41" i="5"/>
  <c r="F42" i="5" s="1"/>
  <c r="AM38" i="5"/>
  <c r="AN38" i="5" s="1"/>
  <c r="AF39" i="5"/>
  <c r="AF40" i="5" s="1"/>
  <c r="AS53" i="5"/>
  <c r="AS54" i="5" s="1"/>
  <c r="AZ54" i="5" s="1"/>
  <c r="BA52" i="5"/>
  <c r="BB80" i="5"/>
  <c r="BD78" i="5"/>
  <c r="BE78" i="5" s="1"/>
  <c r="BH78" i="5"/>
  <c r="BJ78" i="5" s="1"/>
  <c r="BM46" i="5" l="1"/>
  <c r="BN46" i="5" s="1"/>
  <c r="BF47" i="5"/>
  <c r="BF48" i="5" s="1"/>
  <c r="M42" i="5"/>
  <c r="N42" i="5" s="1"/>
  <c r="F43" i="5"/>
  <c r="F44" i="5" s="1"/>
  <c r="AM40" i="5"/>
  <c r="AN40" i="5" s="1"/>
  <c r="AF41" i="5"/>
  <c r="AF42" i="5" s="1"/>
  <c r="BA54" i="5"/>
  <c r="AS55" i="5"/>
  <c r="AS56" i="5" s="1"/>
  <c r="AZ56" i="5" s="1"/>
  <c r="BB82" i="5"/>
  <c r="BD80" i="5"/>
  <c r="BE80" i="5" s="1"/>
  <c r="BH80" i="5"/>
  <c r="BJ80" i="5" s="1"/>
  <c r="BM48" i="5" l="1"/>
  <c r="BN48" i="5" s="1"/>
  <c r="BF49" i="5"/>
  <c r="BF50" i="5" s="1"/>
  <c r="M44" i="5"/>
  <c r="N44" i="5" s="1"/>
  <c r="F45" i="5"/>
  <c r="F46" i="5" s="1"/>
  <c r="AM42" i="5"/>
  <c r="AN42" i="5" s="1"/>
  <c r="AF43" i="5"/>
  <c r="AF44" i="5" s="1"/>
  <c r="BA56" i="5"/>
  <c r="AS57" i="5"/>
  <c r="AS58" i="5" s="1"/>
  <c r="AZ58" i="5" s="1"/>
  <c r="BB84" i="5"/>
  <c r="BD82" i="5"/>
  <c r="BE82" i="5" s="1"/>
  <c r="BH82" i="5"/>
  <c r="BJ82" i="5" s="1"/>
  <c r="BM50" i="5" l="1"/>
  <c r="BN50" i="5" s="1"/>
  <c r="BF51" i="5"/>
  <c r="BF52" i="5" s="1"/>
  <c r="M46" i="5"/>
  <c r="N46" i="5" s="1"/>
  <c r="F47" i="5"/>
  <c r="F48" i="5" s="1"/>
  <c r="AM44" i="5"/>
  <c r="AN44" i="5" s="1"/>
  <c r="AF45" i="5"/>
  <c r="AF46" i="5" s="1"/>
  <c r="AS59" i="5"/>
  <c r="AS60" i="5" s="1"/>
  <c r="AZ60" i="5" s="1"/>
  <c r="BA58" i="5"/>
  <c r="BB86" i="5"/>
  <c r="BD84" i="5"/>
  <c r="BE84" i="5" s="1"/>
  <c r="BH84" i="5"/>
  <c r="BJ84" i="5" s="1"/>
  <c r="BM52" i="5" l="1"/>
  <c r="BN52" i="5" s="1"/>
  <c r="BF53" i="5"/>
  <c r="BF54" i="5" s="1"/>
  <c r="M48" i="5"/>
  <c r="N48" i="5" s="1"/>
  <c r="F49" i="5"/>
  <c r="F50" i="5" s="1"/>
  <c r="AM46" i="5"/>
  <c r="AN46" i="5" s="1"/>
  <c r="AF47" i="5"/>
  <c r="AF48" i="5" s="1"/>
  <c r="BA60" i="5"/>
  <c r="AS61" i="5"/>
  <c r="AS62" i="5" s="1"/>
  <c r="AZ62" i="5" s="1"/>
  <c r="BB88" i="5"/>
  <c r="BD86" i="5"/>
  <c r="BE86" i="5" s="1"/>
  <c r="BH86" i="5"/>
  <c r="BJ86" i="5" s="1"/>
  <c r="BM54" i="5" l="1"/>
  <c r="BN54" i="5" s="1"/>
  <c r="BF55" i="5"/>
  <c r="BF56" i="5" s="1"/>
  <c r="M50" i="5"/>
  <c r="N50" i="5" s="1"/>
  <c r="F51" i="5"/>
  <c r="F52" i="5" s="1"/>
  <c r="AM48" i="5"/>
  <c r="AN48" i="5" s="1"/>
  <c r="AF49" i="5"/>
  <c r="AF50" i="5" s="1"/>
  <c r="AS63" i="5"/>
  <c r="AS64" i="5" s="1"/>
  <c r="AZ64" i="5" s="1"/>
  <c r="BA62" i="5"/>
  <c r="BB90" i="5"/>
  <c r="BD88" i="5"/>
  <c r="BE88" i="5" s="1"/>
  <c r="BH88" i="5"/>
  <c r="BJ88" i="5" s="1"/>
  <c r="BM56" i="5" l="1"/>
  <c r="BN56" i="5" s="1"/>
  <c r="BF57" i="5"/>
  <c r="BF58" i="5" s="1"/>
  <c r="M52" i="5"/>
  <c r="N52" i="5" s="1"/>
  <c r="F53" i="5"/>
  <c r="F54" i="5" s="1"/>
  <c r="AM50" i="5"/>
  <c r="AN50" i="5" s="1"/>
  <c r="AF51" i="5"/>
  <c r="AF52" i="5" s="1"/>
  <c r="BA64" i="5"/>
  <c r="AS65" i="5"/>
  <c r="AS66" i="5" s="1"/>
  <c r="AZ66" i="5" s="1"/>
  <c r="BD90" i="5"/>
  <c r="BE90" i="5" s="1"/>
  <c r="BB92" i="5"/>
  <c r="BH90" i="5"/>
  <c r="BJ90" i="5" s="1"/>
  <c r="BM58" i="5" l="1"/>
  <c r="BN58" i="5" s="1"/>
  <c r="BF59" i="5"/>
  <c r="BF60" i="5" s="1"/>
  <c r="M54" i="5"/>
  <c r="N54" i="5" s="1"/>
  <c r="F55" i="5"/>
  <c r="F56" i="5" s="1"/>
  <c r="AM52" i="5"/>
  <c r="AN52" i="5" s="1"/>
  <c r="AF53" i="5"/>
  <c r="AF54" i="5" s="1"/>
  <c r="BA66" i="5"/>
  <c r="AS67" i="5"/>
  <c r="AS68" i="5" s="1"/>
  <c r="AZ68" i="5" s="1"/>
  <c r="BB94" i="5"/>
  <c r="BD92" i="5"/>
  <c r="BE92" i="5" s="1"/>
  <c r="BH92" i="5"/>
  <c r="BJ92" i="5" s="1"/>
  <c r="BM60" i="5" l="1"/>
  <c r="BN60" i="5" s="1"/>
  <c r="BF61" i="5"/>
  <c r="BF62" i="5" s="1"/>
  <c r="M56" i="5"/>
  <c r="N56" i="5" s="1"/>
  <c r="F57" i="5"/>
  <c r="F58" i="5" s="1"/>
  <c r="AM54" i="5"/>
  <c r="AN54" i="5" s="1"/>
  <c r="AF55" i="5"/>
  <c r="AF56" i="5" s="1"/>
  <c r="AS69" i="5"/>
  <c r="AS70" i="5" s="1"/>
  <c r="AZ70" i="5" s="1"/>
  <c r="BA68" i="5"/>
  <c r="BB96" i="5"/>
  <c r="BD94" i="5"/>
  <c r="BE94" i="5" s="1"/>
  <c r="BH94" i="5"/>
  <c r="BJ94" i="5" s="1"/>
  <c r="BM62" i="5" l="1"/>
  <c r="BN62" i="5" s="1"/>
  <c r="BF63" i="5"/>
  <c r="BF64" i="5" s="1"/>
  <c r="M58" i="5"/>
  <c r="N58" i="5" s="1"/>
  <c r="F59" i="5"/>
  <c r="F60" i="5" s="1"/>
  <c r="AM56" i="5"/>
  <c r="AN56" i="5" s="1"/>
  <c r="AF57" i="5"/>
  <c r="AF58" i="5" s="1"/>
  <c r="BA70" i="5"/>
  <c r="AS71" i="5"/>
  <c r="AS72" i="5" s="1"/>
  <c r="AZ72" i="5" s="1"/>
  <c r="BB98" i="5"/>
  <c r="BD96" i="5"/>
  <c r="BE96" i="5" s="1"/>
  <c r="BH96" i="5"/>
  <c r="BJ96" i="5" s="1"/>
  <c r="BM64" i="5" l="1"/>
  <c r="BN64" i="5" s="1"/>
  <c r="BF65" i="5"/>
  <c r="BF66" i="5" s="1"/>
  <c r="M60" i="5"/>
  <c r="N60" i="5" s="1"/>
  <c r="F61" i="5"/>
  <c r="F62" i="5" s="1"/>
  <c r="AM58" i="5"/>
  <c r="AN58" i="5" s="1"/>
  <c r="AF59" i="5"/>
  <c r="AF60" i="5" s="1"/>
  <c r="BA72" i="5"/>
  <c r="AS73" i="5"/>
  <c r="AS74" i="5" s="1"/>
  <c r="AZ74" i="5" s="1"/>
  <c r="BB100" i="5"/>
  <c r="BD98" i="5"/>
  <c r="BE98" i="5" s="1"/>
  <c r="BH98" i="5"/>
  <c r="BJ98" i="5" s="1"/>
  <c r="BM66" i="5" l="1"/>
  <c r="BN66" i="5" s="1"/>
  <c r="BF67" i="5"/>
  <c r="BF68" i="5" s="1"/>
  <c r="M62" i="5"/>
  <c r="N62" i="5" s="1"/>
  <c r="F63" i="5"/>
  <c r="F64" i="5" s="1"/>
  <c r="AM60" i="5"/>
  <c r="AN60" i="5" s="1"/>
  <c r="AF61" i="5"/>
  <c r="AF62" i="5" s="1"/>
  <c r="AS75" i="5"/>
  <c r="AS76" i="5" s="1"/>
  <c r="AZ76" i="5" s="1"/>
  <c r="BA74" i="5"/>
  <c r="BB102" i="5"/>
  <c r="BD100" i="5"/>
  <c r="BE100" i="5" s="1"/>
  <c r="BH100" i="5"/>
  <c r="BJ100" i="5" s="1"/>
  <c r="BM68" i="5" l="1"/>
  <c r="BN68" i="5" s="1"/>
  <c r="BF69" i="5"/>
  <c r="BF70" i="5" s="1"/>
  <c r="M64" i="5"/>
  <c r="N64" i="5" s="1"/>
  <c r="F65" i="5"/>
  <c r="F66" i="5" s="1"/>
  <c r="AM62" i="5"/>
  <c r="AN62" i="5" s="1"/>
  <c r="AF63" i="5"/>
  <c r="AF64" i="5" s="1"/>
  <c r="BA76" i="5"/>
  <c r="AS77" i="5"/>
  <c r="AS78" i="5" s="1"/>
  <c r="AZ78" i="5" s="1"/>
  <c r="BB104" i="5"/>
  <c r="BD102" i="5"/>
  <c r="BE102" i="5" s="1"/>
  <c r="BH102" i="5"/>
  <c r="BJ102" i="5" s="1"/>
  <c r="BM70" i="5" l="1"/>
  <c r="BN70" i="5" s="1"/>
  <c r="BF71" i="5"/>
  <c r="BF72" i="5" s="1"/>
  <c r="M66" i="5"/>
  <c r="N66" i="5" s="1"/>
  <c r="F67" i="5"/>
  <c r="F68" i="5" s="1"/>
  <c r="AM64" i="5"/>
  <c r="AN64" i="5" s="1"/>
  <c r="AF65" i="5"/>
  <c r="AF66" i="5" s="1"/>
  <c r="AS79" i="5"/>
  <c r="AS80" i="5" s="1"/>
  <c r="AZ80" i="5" s="1"/>
  <c r="BA78" i="5"/>
  <c r="BB106" i="5"/>
  <c r="BD104" i="5"/>
  <c r="BE104" i="5" s="1"/>
  <c r="BH104" i="5"/>
  <c r="BJ104" i="5" s="1"/>
  <c r="BM72" i="5" l="1"/>
  <c r="BN72" i="5" s="1"/>
  <c r="BF73" i="5"/>
  <c r="BF74" i="5" s="1"/>
  <c r="M68" i="5"/>
  <c r="N68" i="5" s="1"/>
  <c r="F69" i="5"/>
  <c r="F70" i="5" s="1"/>
  <c r="AM66" i="5"/>
  <c r="AN66" i="5" s="1"/>
  <c r="AF67" i="5"/>
  <c r="AF68" i="5" s="1"/>
  <c r="BA80" i="5"/>
  <c r="AS81" i="5"/>
  <c r="AS82" i="5" s="1"/>
  <c r="AZ82" i="5" s="1"/>
  <c r="BD106" i="5"/>
  <c r="BE106" i="5" s="1"/>
  <c r="BH106" i="5"/>
  <c r="BJ106" i="5" s="1"/>
  <c r="BM74" i="5" l="1"/>
  <c r="BN74" i="5" s="1"/>
  <c r="BF75" i="5"/>
  <c r="BF76" i="5" s="1"/>
  <c r="M70" i="5"/>
  <c r="N70" i="5" s="1"/>
  <c r="F71" i="5"/>
  <c r="F72" i="5" s="1"/>
  <c r="AM68" i="5"/>
  <c r="AN68" i="5" s="1"/>
  <c r="AF69" i="5"/>
  <c r="AF70" i="5" s="1"/>
  <c r="AS83" i="5"/>
  <c r="AS84" i="5" s="1"/>
  <c r="AZ84" i="5" s="1"/>
  <c r="BA82" i="5"/>
  <c r="BM76" i="5" l="1"/>
  <c r="BN76" i="5" s="1"/>
  <c r="BF77" i="5"/>
  <c r="BF78" i="5" s="1"/>
  <c r="M72" i="5"/>
  <c r="N72" i="5" s="1"/>
  <c r="F73" i="5"/>
  <c r="F74" i="5" s="1"/>
  <c r="AM70" i="5"/>
  <c r="AN70" i="5" s="1"/>
  <c r="AF71" i="5"/>
  <c r="AF72" i="5" s="1"/>
  <c r="BA84" i="5"/>
  <c r="AS85" i="5"/>
  <c r="AS86" i="5" s="1"/>
  <c r="AZ86" i="5" s="1"/>
  <c r="BM78" i="5" l="1"/>
  <c r="BN78" i="5" s="1"/>
  <c r="BF79" i="5"/>
  <c r="BF80" i="5" s="1"/>
  <c r="M74" i="5"/>
  <c r="N74" i="5" s="1"/>
  <c r="F75" i="5"/>
  <c r="F76" i="5" s="1"/>
  <c r="AM72" i="5"/>
  <c r="AN72" i="5" s="1"/>
  <c r="AF73" i="5"/>
  <c r="AF74" i="5" s="1"/>
  <c r="BA86" i="5"/>
  <c r="AS87" i="5"/>
  <c r="AS88" i="5" s="1"/>
  <c r="AZ88" i="5" s="1"/>
  <c r="BM80" i="5" l="1"/>
  <c r="BN80" i="5" s="1"/>
  <c r="BF81" i="5"/>
  <c r="BF82" i="5" s="1"/>
  <c r="M76" i="5"/>
  <c r="N76" i="5" s="1"/>
  <c r="F77" i="5"/>
  <c r="F78" i="5" s="1"/>
  <c r="AM74" i="5"/>
  <c r="AN74" i="5" s="1"/>
  <c r="AF75" i="5"/>
  <c r="AF76" i="5" s="1"/>
  <c r="BA88" i="5"/>
  <c r="AS89" i="5"/>
  <c r="AS90" i="5" s="1"/>
  <c r="AZ90" i="5" s="1"/>
  <c r="BM82" i="5" l="1"/>
  <c r="BN82" i="5" s="1"/>
  <c r="BF83" i="5"/>
  <c r="BF84" i="5" s="1"/>
  <c r="M78" i="5"/>
  <c r="N78" i="5" s="1"/>
  <c r="F79" i="5"/>
  <c r="F80" i="5" s="1"/>
  <c r="AM76" i="5"/>
  <c r="AN76" i="5" s="1"/>
  <c r="AF77" i="5"/>
  <c r="AF78" i="5" s="1"/>
  <c r="BA90" i="5"/>
  <c r="AS91" i="5"/>
  <c r="AS92" i="5" s="1"/>
  <c r="AZ92" i="5" s="1"/>
  <c r="BM84" i="5" l="1"/>
  <c r="BN84" i="5" s="1"/>
  <c r="BF85" i="5"/>
  <c r="BF86" i="5" s="1"/>
  <c r="M80" i="5"/>
  <c r="N80" i="5" s="1"/>
  <c r="F81" i="5"/>
  <c r="F82" i="5" s="1"/>
  <c r="AM78" i="5"/>
  <c r="AN78" i="5" s="1"/>
  <c r="AF79" i="5"/>
  <c r="AF80" i="5" s="1"/>
  <c r="AS93" i="5"/>
  <c r="AS94" i="5" s="1"/>
  <c r="AZ94" i="5" s="1"/>
  <c r="BA92" i="5"/>
  <c r="BM86" i="5" l="1"/>
  <c r="BN86" i="5" s="1"/>
  <c r="BF87" i="5"/>
  <c r="BF88" i="5" s="1"/>
  <c r="M82" i="5"/>
  <c r="N82" i="5" s="1"/>
  <c r="F83" i="5"/>
  <c r="F84" i="5" s="1"/>
  <c r="AM80" i="5"/>
  <c r="AN80" i="5" s="1"/>
  <c r="AF81" i="5"/>
  <c r="AF82" i="5" s="1"/>
  <c r="BA94" i="5"/>
  <c r="AS95" i="5"/>
  <c r="AS96" i="5" s="1"/>
  <c r="AZ96" i="5" s="1"/>
  <c r="BM88" i="5" l="1"/>
  <c r="BN88" i="5" s="1"/>
  <c r="BF89" i="5"/>
  <c r="BF90" i="5" s="1"/>
  <c r="M84" i="5"/>
  <c r="N84" i="5" s="1"/>
  <c r="F85" i="5"/>
  <c r="F86" i="5" s="1"/>
  <c r="AM82" i="5"/>
  <c r="AN82" i="5" s="1"/>
  <c r="AF83" i="5"/>
  <c r="AF84" i="5" s="1"/>
  <c r="BA96" i="5"/>
  <c r="AS97" i="5"/>
  <c r="AS98" i="5" s="1"/>
  <c r="AZ98" i="5" s="1"/>
  <c r="BM90" i="5" l="1"/>
  <c r="BN90" i="5" s="1"/>
  <c r="BF91" i="5"/>
  <c r="BF92" i="5" s="1"/>
  <c r="M86" i="5"/>
  <c r="N86" i="5" s="1"/>
  <c r="F87" i="5"/>
  <c r="F88" i="5" s="1"/>
  <c r="AM84" i="5"/>
  <c r="AN84" i="5" s="1"/>
  <c r="AF85" i="5"/>
  <c r="AF86" i="5" s="1"/>
  <c r="BA98" i="5"/>
  <c r="AS99" i="5"/>
  <c r="AS100" i="5" s="1"/>
  <c r="AZ100" i="5" s="1"/>
  <c r="BM92" i="5" l="1"/>
  <c r="BN92" i="5" s="1"/>
  <c r="BF93" i="5"/>
  <c r="BF94" i="5" s="1"/>
  <c r="M88" i="5"/>
  <c r="N88" i="5" s="1"/>
  <c r="F89" i="5"/>
  <c r="F90" i="5" s="1"/>
  <c r="AM86" i="5"/>
  <c r="AN86" i="5" s="1"/>
  <c r="AF87" i="5"/>
  <c r="AF88" i="5" s="1"/>
  <c r="AS101" i="5"/>
  <c r="AS102" i="5" s="1"/>
  <c r="AZ102" i="5" s="1"/>
  <c r="BA100" i="5"/>
  <c r="BM94" i="5" l="1"/>
  <c r="BN94" i="5" s="1"/>
  <c r="BF95" i="5"/>
  <c r="BF96" i="5" s="1"/>
  <c r="M90" i="5"/>
  <c r="N90" i="5" s="1"/>
  <c r="F91" i="5"/>
  <c r="F92" i="5" s="1"/>
  <c r="AM88" i="5"/>
  <c r="AN88" i="5" s="1"/>
  <c r="AF89" i="5"/>
  <c r="AF90" i="5" s="1"/>
  <c r="AS103" i="5"/>
  <c r="AS104" i="5" s="1"/>
  <c r="AZ104" i="5" s="1"/>
  <c r="BA102" i="5"/>
  <c r="BM96" i="5" l="1"/>
  <c r="BN96" i="5" s="1"/>
  <c r="BF97" i="5"/>
  <c r="BF98" i="5" s="1"/>
  <c r="M92" i="5"/>
  <c r="N92" i="5" s="1"/>
  <c r="F93" i="5"/>
  <c r="F94" i="5" s="1"/>
  <c r="AM90" i="5"/>
  <c r="AN90" i="5" s="1"/>
  <c r="AF91" i="5"/>
  <c r="AF92" i="5" s="1"/>
  <c r="BA104" i="5"/>
  <c r="AS105" i="5"/>
  <c r="AS106" i="5" s="1"/>
  <c r="AZ106" i="5" l="1"/>
  <c r="AZ110" i="5" s="1"/>
  <c r="BM98" i="5"/>
  <c r="BN98" i="5" s="1"/>
  <c r="BF99" i="5"/>
  <c r="BF100" i="5" s="1"/>
  <c r="M94" i="5"/>
  <c r="N94" i="5" s="1"/>
  <c r="F95" i="5"/>
  <c r="F96" i="5" s="1"/>
  <c r="AM92" i="5"/>
  <c r="AN92" i="5" s="1"/>
  <c r="AF93" i="5"/>
  <c r="AF94" i="5" s="1"/>
  <c r="BA106" i="5" l="1"/>
  <c r="AZ4" i="5"/>
  <c r="BM100" i="5"/>
  <c r="BN100" i="5" s="1"/>
  <c r="BF101" i="5"/>
  <c r="BF102" i="5" s="1"/>
  <c r="M96" i="5"/>
  <c r="N96" i="5" s="1"/>
  <c r="F97" i="5"/>
  <c r="F98" i="5" s="1"/>
  <c r="AM94" i="5"/>
  <c r="AN94" i="5" s="1"/>
  <c r="AF95" i="5"/>
  <c r="AF96" i="5" s="1"/>
  <c r="BM102" i="5" l="1"/>
  <c r="BN102" i="5" s="1"/>
  <c r="BF103" i="5"/>
  <c r="BF104" i="5" s="1"/>
  <c r="M98" i="5"/>
  <c r="N98" i="5" s="1"/>
  <c r="F99" i="5"/>
  <c r="F100" i="5" s="1"/>
  <c r="AM96" i="5"/>
  <c r="AN96" i="5" s="1"/>
  <c r="AF97" i="5"/>
  <c r="AF98" i="5" s="1"/>
  <c r="BM104" i="5" l="1"/>
  <c r="BN104" i="5" s="1"/>
  <c r="BF105" i="5"/>
  <c r="BF106" i="5" s="1"/>
  <c r="BM106" i="5" s="1"/>
  <c r="M100" i="5"/>
  <c r="N100" i="5" s="1"/>
  <c r="F101" i="5"/>
  <c r="F102" i="5" s="1"/>
  <c r="AM98" i="5"/>
  <c r="AN98" i="5" s="1"/>
  <c r="AF99" i="5"/>
  <c r="AF100" i="5" s="1"/>
  <c r="M55" i="18"/>
  <c r="M57" i="18" s="1"/>
  <c r="M65" i="18" s="1"/>
  <c r="BN106" i="5" l="1"/>
  <c r="BM4" i="5"/>
  <c r="BM110" i="5"/>
  <c r="M102" i="5"/>
  <c r="N102" i="5" s="1"/>
  <c r="F103" i="5"/>
  <c r="F104" i="5" s="1"/>
  <c r="AM100" i="5"/>
  <c r="AN100" i="5" s="1"/>
  <c r="AF101" i="5"/>
  <c r="AF102" i="5" s="1"/>
  <c r="P6" i="5"/>
  <c r="R6" i="5" s="1"/>
  <c r="S6" i="5" s="1"/>
  <c r="Z6" i="5" s="1"/>
  <c r="W65" i="18"/>
  <c r="M104" i="5" l="1"/>
  <c r="N104" i="5" s="1"/>
  <c r="F105" i="5"/>
  <c r="F106" i="5" s="1"/>
  <c r="W73" i="18"/>
  <c r="W72" i="18"/>
  <c r="L20" i="1" s="1"/>
  <c r="L25" i="1" s="1"/>
  <c r="AM102" i="5"/>
  <c r="AN102" i="5" s="1"/>
  <c r="AF103" i="5"/>
  <c r="AF104" i="5" s="1"/>
  <c r="S7" i="5"/>
  <c r="S8" i="5" s="1"/>
  <c r="Z8" i="5" s="1"/>
  <c r="AA6" i="5"/>
  <c r="M106" i="5" l="1"/>
  <c r="AM104" i="5"/>
  <c r="AN104" i="5" s="1"/>
  <c r="AF105" i="5"/>
  <c r="AF106" i="5" s="1"/>
  <c r="L21" i="1"/>
  <c r="L26" i="1" s="1"/>
  <c r="Z109" i="5"/>
  <c r="S9" i="5"/>
  <c r="S10" i="5" s="1"/>
  <c r="Z10" i="5" s="1"/>
  <c r="AA8" i="5"/>
  <c r="N106" i="5" l="1"/>
  <c r="M4" i="5"/>
  <c r="M110" i="5"/>
  <c r="AM106" i="5"/>
  <c r="S11" i="5"/>
  <c r="S12" i="5" s="1"/>
  <c r="Z12" i="5" s="1"/>
  <c r="AA10" i="5"/>
  <c r="AM4" i="5" l="1"/>
  <c r="AN106" i="5"/>
  <c r="AM110" i="5"/>
  <c r="S13" i="5"/>
  <c r="S14" i="5" s="1"/>
  <c r="Z14" i="5" s="1"/>
  <c r="AA12" i="5"/>
  <c r="S15" i="5" l="1"/>
  <c r="S16" i="5" s="1"/>
  <c r="Z16" i="5" s="1"/>
  <c r="AA14" i="5"/>
  <c r="S17" i="5" l="1"/>
  <c r="S18" i="5" s="1"/>
  <c r="Z18" i="5" s="1"/>
  <c r="AA16" i="5"/>
  <c r="AA18" i="5" l="1"/>
  <c r="S19" i="5"/>
  <c r="S20" i="5" s="1"/>
  <c r="Z20" i="5" s="1"/>
  <c r="AA20" i="5" l="1"/>
  <c r="S21" i="5"/>
  <c r="S22" i="5" s="1"/>
  <c r="Z22" i="5" s="1"/>
  <c r="AA22" i="5" l="1"/>
  <c r="S23" i="5"/>
  <c r="S24" i="5" s="1"/>
  <c r="Z24" i="5" s="1"/>
  <c r="AA24" i="5" l="1"/>
  <c r="S25" i="5"/>
  <c r="S26" i="5" s="1"/>
  <c r="Z26" i="5" s="1"/>
  <c r="AA26" i="5" l="1"/>
  <c r="S27" i="5"/>
  <c r="S28" i="5" s="1"/>
  <c r="Z28" i="5" s="1"/>
  <c r="AA28" i="5" l="1"/>
  <c r="S29" i="5"/>
  <c r="S30" i="5" s="1"/>
  <c r="Z30" i="5" s="1"/>
  <c r="S31" i="5" l="1"/>
  <c r="S32" i="5" s="1"/>
  <c r="Z32" i="5" s="1"/>
  <c r="AA30" i="5"/>
  <c r="S33" i="5" l="1"/>
  <c r="S34" i="5" s="1"/>
  <c r="Z34" i="5" s="1"/>
  <c r="AA32" i="5"/>
  <c r="S35" i="5" l="1"/>
  <c r="S36" i="5" s="1"/>
  <c r="Z36" i="5" s="1"/>
  <c r="AA34" i="5"/>
  <c r="S37" i="5" l="1"/>
  <c r="S38" i="5" s="1"/>
  <c r="Z38" i="5" s="1"/>
  <c r="AA36" i="5"/>
  <c r="S39" i="5" l="1"/>
  <c r="S40" i="5" s="1"/>
  <c r="Z40" i="5" s="1"/>
  <c r="AA38" i="5"/>
  <c r="S41" i="5" l="1"/>
  <c r="S42" i="5" s="1"/>
  <c r="Z42" i="5" s="1"/>
  <c r="AA40" i="5"/>
  <c r="S43" i="5" l="1"/>
  <c r="S44" i="5" s="1"/>
  <c r="Z44" i="5" s="1"/>
  <c r="AA42" i="5"/>
  <c r="S45" i="5" l="1"/>
  <c r="S46" i="5" s="1"/>
  <c r="Z46" i="5" s="1"/>
  <c r="AA44" i="5"/>
  <c r="S47" i="5" l="1"/>
  <c r="S48" i="5" s="1"/>
  <c r="Z48" i="5" s="1"/>
  <c r="AA46" i="5"/>
  <c r="S49" i="5" l="1"/>
  <c r="S50" i="5" s="1"/>
  <c r="Z50" i="5" s="1"/>
  <c r="AA48" i="5"/>
  <c r="S51" i="5" l="1"/>
  <c r="S52" i="5" s="1"/>
  <c r="Z52" i="5" s="1"/>
  <c r="AA50" i="5"/>
  <c r="S53" i="5" l="1"/>
  <c r="S54" i="5" s="1"/>
  <c r="Z54" i="5" s="1"/>
  <c r="AA52" i="5"/>
  <c r="S55" i="5" l="1"/>
  <c r="S56" i="5" s="1"/>
  <c r="Z56" i="5" s="1"/>
  <c r="AA54" i="5"/>
  <c r="S57" i="5" l="1"/>
  <c r="S58" i="5" s="1"/>
  <c r="Z58" i="5" s="1"/>
  <c r="AA56" i="5"/>
  <c r="S59" i="5" l="1"/>
  <c r="S60" i="5" s="1"/>
  <c r="Z60" i="5" s="1"/>
  <c r="AA58" i="5"/>
  <c r="AA60" i="5" l="1"/>
  <c r="S61" i="5"/>
  <c r="S62" i="5" s="1"/>
  <c r="Z62" i="5" s="1"/>
  <c r="AA62" i="5" l="1"/>
  <c r="S63" i="5"/>
  <c r="S64" i="5" s="1"/>
  <c r="Z64" i="5" s="1"/>
  <c r="AA64" i="5" l="1"/>
  <c r="S65" i="5"/>
  <c r="S66" i="5" s="1"/>
  <c r="Z66" i="5" s="1"/>
  <c r="AA66" i="5" l="1"/>
  <c r="S67" i="5"/>
  <c r="S68" i="5" s="1"/>
  <c r="Z68" i="5" s="1"/>
  <c r="AA68" i="5" l="1"/>
  <c r="S69" i="5"/>
  <c r="S70" i="5" s="1"/>
  <c r="Z70" i="5" s="1"/>
  <c r="AA70" i="5" l="1"/>
  <c r="S71" i="5"/>
  <c r="S72" i="5" s="1"/>
  <c r="Z72" i="5" s="1"/>
  <c r="AA72" i="5" l="1"/>
  <c r="S73" i="5"/>
  <c r="S74" i="5" s="1"/>
  <c r="Z74" i="5" s="1"/>
  <c r="AA74" i="5" l="1"/>
  <c r="S75" i="5"/>
  <c r="S76" i="5" s="1"/>
  <c r="Z76" i="5" s="1"/>
  <c r="AA76" i="5" l="1"/>
  <c r="S77" i="5"/>
  <c r="S78" i="5" s="1"/>
  <c r="Z78" i="5" s="1"/>
  <c r="AA78" i="5" l="1"/>
  <c r="S79" i="5"/>
  <c r="S80" i="5" s="1"/>
  <c r="Z80" i="5" s="1"/>
  <c r="S81" i="5" l="1"/>
  <c r="S82" i="5" s="1"/>
  <c r="Z82" i="5" s="1"/>
  <c r="AA80" i="5"/>
  <c r="S83" i="5" l="1"/>
  <c r="S84" i="5" s="1"/>
  <c r="Z84" i="5" s="1"/>
  <c r="AA82" i="5"/>
  <c r="S85" i="5" l="1"/>
  <c r="S86" i="5" s="1"/>
  <c r="Z86" i="5" s="1"/>
  <c r="AA84" i="5"/>
  <c r="S87" i="5" l="1"/>
  <c r="S88" i="5" s="1"/>
  <c r="Z88" i="5" s="1"/>
  <c r="AA86" i="5"/>
  <c r="S89" i="5" l="1"/>
  <c r="S90" i="5" s="1"/>
  <c r="Z90" i="5" s="1"/>
  <c r="AA88" i="5"/>
  <c r="S91" i="5" l="1"/>
  <c r="S92" i="5" s="1"/>
  <c r="Z92" i="5" s="1"/>
  <c r="AA90" i="5"/>
  <c r="AA92" i="5" l="1"/>
  <c r="S93" i="5"/>
  <c r="S94" i="5" s="1"/>
  <c r="Z94" i="5" s="1"/>
  <c r="S95" i="5" l="1"/>
  <c r="S96" i="5" s="1"/>
  <c r="Z96" i="5" s="1"/>
  <c r="AA94" i="5"/>
  <c r="S97" i="5" l="1"/>
  <c r="S98" i="5" s="1"/>
  <c r="Z98" i="5" s="1"/>
  <c r="AA96" i="5"/>
  <c r="S99" i="5" l="1"/>
  <c r="S100" i="5" s="1"/>
  <c r="Z100" i="5" s="1"/>
  <c r="AA98" i="5"/>
  <c r="S101" i="5" l="1"/>
  <c r="S102" i="5" s="1"/>
  <c r="Z102" i="5" s="1"/>
  <c r="AA100" i="5"/>
  <c r="AA102" i="5" l="1"/>
  <c r="S103" i="5"/>
  <c r="S104" i="5" s="1"/>
  <c r="Z104" i="5" s="1"/>
  <c r="AA104" i="5" l="1"/>
  <c r="S105" i="5"/>
  <c r="S106" i="5" s="1"/>
  <c r="Z106" i="5" l="1"/>
  <c r="Z110" i="5" s="1"/>
  <c r="Z4" i="5" l="1"/>
  <c r="AA10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soldner</author>
    <author>Lüder, Jedele und Partner</author>
  </authors>
  <commentList>
    <comment ref="B4" authorId="0" shapeId="0" xr:uid="{00000000-0006-0000-0200-000001000000}">
      <text>
        <r>
          <rPr>
            <b/>
            <sz val="8"/>
            <color indexed="81"/>
            <rFont val="Tahoma"/>
            <family val="2"/>
          </rPr>
          <t>Kommentar:</t>
        </r>
        <r>
          <rPr>
            <sz val="8"/>
            <color indexed="81"/>
            <rFont val="Tahoma"/>
            <family val="2"/>
          </rPr>
          <t xml:space="preserve">
</t>
        </r>
        <r>
          <rPr>
            <sz val="12"/>
            <color indexed="12"/>
            <rFont val="Tahoma"/>
            <family val="2"/>
          </rPr>
          <t xml:space="preserve">Hier können Kriterien zum Vergleich der Varianten angegeben werden. 
Die Kriterien können verändert und/oder erweitert werden. 
Für Erweiterung bitte </t>
        </r>
        <r>
          <rPr>
            <u/>
            <sz val="12"/>
            <color indexed="12"/>
            <rFont val="Tahoma"/>
            <family val="2"/>
          </rPr>
          <t>innerhalb</t>
        </r>
        <r>
          <rPr>
            <sz val="12"/>
            <color indexed="12"/>
            <rFont val="Tahoma"/>
            <family val="2"/>
          </rPr>
          <t xml:space="preserve"> der Tabelle eine Zeile einfügen, 
die Wichtung anpassen und Punkte vergeben.</t>
        </r>
      </text>
    </comment>
    <comment ref="C4" authorId="0" shapeId="0" xr:uid="{00000000-0006-0000-0200-000002000000}">
      <text>
        <r>
          <rPr>
            <b/>
            <sz val="8"/>
            <color indexed="81"/>
            <rFont val="Tahoma"/>
            <family val="2"/>
          </rPr>
          <t>Kommentar:</t>
        </r>
        <r>
          <rPr>
            <sz val="8"/>
            <color indexed="81"/>
            <rFont val="Tahoma"/>
            <family val="2"/>
          </rPr>
          <t xml:space="preserve">
</t>
        </r>
        <r>
          <rPr>
            <sz val="12"/>
            <color indexed="12"/>
            <rFont val="Tahoma"/>
            <family val="2"/>
          </rPr>
          <t>Die Wichtungsfaktoren geben an, welche Bedeutung Sie den einzelnen Kriterien beimessen. 
Bei der Abwasserreinigung sind dies vor allem die Reinigungsleistung und -stabilität. 
Die Vergabe der Wichtungsfaktoren stellt ein individuelles Ranking dar.  Sie können verändert werden.
Unterschiedliche Fachgebiete würden möglicherweise unterschiedlich wichten. (z.B. Techniker vs. Hydrologe vs. Naturschutz)</t>
        </r>
      </text>
    </comment>
    <comment ref="D4" authorId="0" shapeId="0" xr:uid="{00000000-0006-0000-0200-000003000000}">
      <text>
        <r>
          <rPr>
            <b/>
            <sz val="8"/>
            <color indexed="81"/>
            <rFont val="Tahoma"/>
            <family val="2"/>
          </rPr>
          <t>Kommentar:</t>
        </r>
        <r>
          <rPr>
            <sz val="8"/>
            <color indexed="81"/>
            <rFont val="Tahoma"/>
            <family val="2"/>
          </rPr>
          <t xml:space="preserve">
</t>
        </r>
        <r>
          <rPr>
            <sz val="12"/>
            <color indexed="12"/>
            <rFont val="Tahoma"/>
            <family val="2"/>
          </rPr>
          <t>Hier bitte Punkte 1-6 vergeben, wie Sie innerhalb der Variante die jeweiligen Kriterien bewerten.
Je höher, desto besser wird das Kriterium erfüllt (1=schlecht, 6=sehr gut). 
Die bestehenden Zahlen können verändert werden. 
Bei Nutzwertberechnungen sind auch andere Bewertungssysteme möglich (z.B. 1-10). 
Für die Bewertungen im Abwasserbereich halten wir jedoch 1 bis 6 für ausreichend.</t>
        </r>
      </text>
    </comment>
    <comment ref="B5" authorId="0" shapeId="0" xr:uid="{00000000-0006-0000-0200-000004000000}">
      <text>
        <r>
          <rPr>
            <b/>
            <sz val="8"/>
            <color indexed="81"/>
            <rFont val="Tahoma"/>
            <family val="2"/>
          </rPr>
          <t>Kommentar:</t>
        </r>
        <r>
          <rPr>
            <sz val="8"/>
            <color indexed="81"/>
            <rFont val="Tahoma"/>
            <family val="2"/>
          </rPr>
          <t xml:space="preserve">
</t>
        </r>
        <r>
          <rPr>
            <sz val="12"/>
            <color indexed="12"/>
            <rFont val="Tahoma"/>
            <family val="2"/>
          </rPr>
          <t>Eine weitestgehende Reinigungsleistung ist das primäre Ziel der Abwasserreinigung. 
Ausgehend von regelwerkskonformen Bau und Betrieb gilt im Allgemeinen, 
dass eine größere Kläranlage eine bessere Reinigungsleistung hat. 
Dies muss sich in der Bewertung wiederspiegeln. 
Örtliche Randbedingungen sind zu berücksichtigen.</t>
        </r>
      </text>
    </comment>
    <comment ref="B6" authorId="0" shapeId="0" xr:uid="{00000000-0006-0000-0200-000005000000}">
      <text>
        <r>
          <rPr>
            <b/>
            <sz val="8"/>
            <color indexed="81"/>
            <rFont val="Tahoma"/>
            <family val="2"/>
          </rPr>
          <t>Kommentar:</t>
        </r>
        <r>
          <rPr>
            <sz val="8"/>
            <color indexed="81"/>
            <rFont val="Tahoma"/>
            <family val="2"/>
          </rPr>
          <t xml:space="preserve">
</t>
        </r>
        <r>
          <rPr>
            <b/>
            <sz val="12"/>
            <color indexed="12"/>
            <rFont val="Tahoma"/>
            <family val="2"/>
          </rPr>
          <t>Ausgehend von regelwerkskonformen Bau und Betrieb gilt im Allgemeinen, 
dass eine größere Kläranlage sicherer und stabiler läuft. 
Dies muss sich in der Bewertung wiederspiegeln. 
Örtliche Randbedingungen sind zu berücksichtigen.</t>
        </r>
      </text>
    </comment>
    <comment ref="B7" authorId="0" shapeId="0" xr:uid="{00000000-0006-0000-0200-000006000000}">
      <text>
        <r>
          <rPr>
            <b/>
            <sz val="8"/>
            <color indexed="81"/>
            <rFont val="Tahoma"/>
            <family val="2"/>
          </rPr>
          <t>Kommentar:</t>
        </r>
        <r>
          <rPr>
            <sz val="8"/>
            <color indexed="81"/>
            <rFont val="Tahoma"/>
            <family val="2"/>
          </rPr>
          <t xml:space="preserve">
</t>
        </r>
        <r>
          <rPr>
            <sz val="12"/>
            <color indexed="12"/>
            <rFont val="Tahoma"/>
            <family val="2"/>
          </rPr>
          <t xml:space="preserve">Für die Wasserführung in einem Gewässer sind mehrere Einleitungen besser 
als die Einleitung einer großen Menge an einer Stelle. 
Die Grundwasserneubildung beginnt "an Ort und Stelle" und nicht erst weit flussabwärts. </t>
        </r>
      </text>
    </comment>
    <comment ref="B8" authorId="0" shapeId="0" xr:uid="{00000000-0006-0000-0200-000007000000}">
      <text>
        <r>
          <rPr>
            <b/>
            <sz val="8"/>
            <color indexed="81"/>
            <rFont val="Tahoma"/>
            <family val="2"/>
          </rPr>
          <t>Kommentar:</t>
        </r>
        <r>
          <rPr>
            <sz val="8"/>
            <color indexed="81"/>
            <rFont val="Tahoma"/>
            <family val="2"/>
          </rPr>
          <t xml:space="preserve">
</t>
        </r>
        <r>
          <rPr>
            <sz val="12"/>
            <color indexed="12"/>
            <rFont val="Tahoma"/>
            <family val="2"/>
          </rPr>
          <t>Hier sind die örtlichen Gegebenheiten und Randbedingungen bezüglich der Landschaftlichen Einbindung gemeint. 
(Passt die geplante Kläranlage an diese Stelle?). 
Bei einer Überleitung in eine bereits vorhandene Kläranlage ist beispielsweise keine zusätzliche Bebauung erforderlich.</t>
        </r>
        <r>
          <rPr>
            <sz val="8"/>
            <color indexed="81"/>
            <rFont val="Tahoma"/>
            <family val="2"/>
          </rPr>
          <t xml:space="preserve"> </t>
        </r>
      </text>
    </comment>
    <comment ref="B9" authorId="0" shapeId="0" xr:uid="{00000000-0006-0000-0200-000008000000}">
      <text>
        <r>
          <rPr>
            <b/>
            <sz val="8"/>
            <color indexed="81"/>
            <rFont val="Tahoma"/>
            <family val="2"/>
          </rPr>
          <t>Kommentar:</t>
        </r>
        <r>
          <rPr>
            <sz val="8"/>
            <color indexed="81"/>
            <rFont val="Tahoma"/>
            <family val="2"/>
          </rPr>
          <t xml:space="preserve">
</t>
        </r>
        <r>
          <rPr>
            <sz val="12"/>
            <color indexed="12"/>
            <rFont val="Tahoma"/>
            <family val="2"/>
          </rPr>
          <t xml:space="preserve">Im Kriterium "Demografische Entwicklung" soll die Flexibilität für künftige Bevölkerungsentwicklungen berücksichtigt werden. 
Aufgrund der kürzeren Nutzungsdauer können hier kleinere Systeme vorteilhafter sein </t>
        </r>
      </text>
    </comment>
    <comment ref="B10" authorId="0" shapeId="0" xr:uid="{00000000-0006-0000-0200-000009000000}">
      <text>
        <r>
          <rPr>
            <b/>
            <sz val="8"/>
            <color indexed="81"/>
            <rFont val="Tahoma"/>
            <family val="2"/>
          </rPr>
          <t>Kommentar:</t>
        </r>
        <r>
          <rPr>
            <sz val="8"/>
            <color indexed="81"/>
            <rFont val="Tahoma"/>
            <family val="2"/>
          </rPr>
          <t xml:space="preserve">
</t>
        </r>
        <r>
          <rPr>
            <sz val="12"/>
            <color indexed="12"/>
            <rFont val="Tahoma"/>
            <family val="2"/>
          </rPr>
          <t>im Allgemeinen gilt: je größer die Ausbaugröße einer Kläranlage, 
desto besser wird die Anlage kontrolliert. 
Eine amtliche Kontrolle ist beispielsweise bei Grundstücksbezogenen Kleinkläranlagen nicht vorgesehen, 
das führt zur Abwertung. Mit fehlender Kontrolle vermindert sich auch die Möglichkeit, 
den Prozess zu beurteilen und entsprechend zu steuern.</t>
        </r>
      </text>
    </comment>
    <comment ref="D15" authorId="1" shapeId="0" xr:uid="{00000000-0006-0000-0200-00000A000000}">
      <text>
        <r>
          <rPr>
            <b/>
            <sz val="8"/>
            <color indexed="12"/>
            <rFont val="Tahoma"/>
            <family val="2"/>
          </rPr>
          <t>Kommentar:</t>
        </r>
        <r>
          <rPr>
            <sz val="8"/>
            <color indexed="12"/>
            <rFont val="Tahoma"/>
            <family val="2"/>
          </rPr>
          <t xml:space="preserve">
Eingabe der Kosten pro Stück.</t>
        </r>
      </text>
    </comment>
    <comment ref="E15" authorId="1" shapeId="0" xr:uid="{00000000-0006-0000-0200-00000B000000}">
      <text>
        <r>
          <rPr>
            <b/>
            <sz val="8"/>
            <color indexed="12"/>
            <rFont val="Tahoma"/>
            <family val="2"/>
          </rPr>
          <t>Kommentar:</t>
        </r>
        <r>
          <rPr>
            <sz val="8"/>
            <color indexed="12"/>
            <rFont val="Tahoma"/>
            <family val="2"/>
          </rPr>
          <t xml:space="preserve">
Eingabe der Kosten pro Stück.</t>
        </r>
      </text>
    </comment>
    <comment ref="F15" authorId="1" shapeId="0" xr:uid="{00000000-0006-0000-0200-00000C000000}">
      <text>
        <r>
          <rPr>
            <b/>
            <sz val="8"/>
            <color indexed="12"/>
            <rFont val="Tahoma"/>
            <family val="2"/>
          </rPr>
          <t>Kommentar:</t>
        </r>
        <r>
          <rPr>
            <sz val="8"/>
            <color indexed="12"/>
            <rFont val="Tahoma"/>
            <family val="2"/>
          </rPr>
          <t xml:space="preserve">
Eingabe der Kosten pro Stück.</t>
        </r>
      </text>
    </comment>
    <comment ref="G15" authorId="1" shapeId="0" xr:uid="{00000000-0006-0000-0200-00000D000000}">
      <text>
        <r>
          <rPr>
            <b/>
            <sz val="8"/>
            <color indexed="12"/>
            <rFont val="Tahoma"/>
            <family val="2"/>
          </rPr>
          <t>Kommentar:</t>
        </r>
        <r>
          <rPr>
            <sz val="8"/>
            <color indexed="12"/>
            <rFont val="Tahoma"/>
            <family val="2"/>
          </rPr>
          <t xml:space="preserve">
Eingabe der Kosten pro Stück.</t>
        </r>
      </text>
    </comment>
    <comment ref="H15" authorId="1" shapeId="0" xr:uid="{00000000-0006-0000-0200-00000E000000}">
      <text>
        <r>
          <rPr>
            <b/>
            <sz val="8"/>
            <color indexed="12"/>
            <rFont val="Tahoma"/>
            <family val="2"/>
          </rPr>
          <t>Kommentar:</t>
        </r>
        <r>
          <rPr>
            <sz val="8"/>
            <color indexed="12"/>
            <rFont val="Tahoma"/>
            <family val="2"/>
          </rPr>
          <t xml:space="preserve">
Eingabe der Kosten pro Stück.</t>
        </r>
      </text>
    </comment>
    <comment ref="D19" authorId="1" shapeId="0" xr:uid="{00000000-0006-0000-0200-00000F000000}">
      <text>
        <r>
          <rPr>
            <b/>
            <sz val="8"/>
            <color indexed="12"/>
            <rFont val="Tahoma"/>
            <family val="2"/>
          </rPr>
          <t>Kommentar:</t>
        </r>
        <r>
          <rPr>
            <sz val="8"/>
            <color indexed="12"/>
            <rFont val="Tahoma"/>
            <family val="2"/>
          </rPr>
          <t xml:space="preserve">
Eingabe der Kosten pro Stück.</t>
        </r>
      </text>
    </comment>
    <comment ref="E19" authorId="1" shapeId="0" xr:uid="{00000000-0006-0000-0200-000010000000}">
      <text>
        <r>
          <rPr>
            <b/>
            <sz val="8"/>
            <color indexed="12"/>
            <rFont val="Tahoma"/>
            <family val="2"/>
          </rPr>
          <t>Kommentar:</t>
        </r>
        <r>
          <rPr>
            <sz val="8"/>
            <color indexed="12"/>
            <rFont val="Tahoma"/>
            <family val="2"/>
          </rPr>
          <t xml:space="preserve">
Eingabe der Kosten pro Stück.</t>
        </r>
      </text>
    </comment>
    <comment ref="F19" authorId="1" shapeId="0" xr:uid="{00000000-0006-0000-0200-000011000000}">
      <text>
        <r>
          <rPr>
            <b/>
            <sz val="8"/>
            <color indexed="12"/>
            <rFont val="Tahoma"/>
            <family val="2"/>
          </rPr>
          <t>Kommentar:</t>
        </r>
        <r>
          <rPr>
            <sz val="8"/>
            <color indexed="12"/>
            <rFont val="Tahoma"/>
            <family val="2"/>
          </rPr>
          <t xml:space="preserve">
Eingabe der Kosten pro Stück.</t>
        </r>
      </text>
    </comment>
    <comment ref="G19" authorId="1" shapeId="0" xr:uid="{00000000-0006-0000-0200-000012000000}">
      <text>
        <r>
          <rPr>
            <b/>
            <sz val="8"/>
            <color indexed="12"/>
            <rFont val="Tahoma"/>
            <family val="2"/>
          </rPr>
          <t>Kommentar:</t>
        </r>
        <r>
          <rPr>
            <sz val="8"/>
            <color indexed="12"/>
            <rFont val="Tahoma"/>
            <family val="2"/>
          </rPr>
          <t xml:space="preserve">
Eingabe der Kosten pro Stück.</t>
        </r>
      </text>
    </comment>
    <comment ref="H19" authorId="1" shapeId="0" xr:uid="{00000000-0006-0000-0200-000013000000}">
      <text>
        <r>
          <rPr>
            <b/>
            <sz val="8"/>
            <color indexed="12"/>
            <rFont val="Tahoma"/>
            <family val="2"/>
          </rPr>
          <t>Kommentar:</t>
        </r>
        <r>
          <rPr>
            <sz val="8"/>
            <color indexed="12"/>
            <rFont val="Tahoma"/>
            <family val="2"/>
          </rPr>
          <t xml:space="preserve">
Eingabe der Kosten pro Stück.</t>
        </r>
      </text>
    </comment>
    <comment ref="D25" authorId="1" shapeId="0" xr:uid="{00000000-0006-0000-0200-000014000000}">
      <text>
        <r>
          <rPr>
            <b/>
            <sz val="8"/>
            <color indexed="12"/>
            <rFont val="Tahoma"/>
            <family val="2"/>
          </rPr>
          <t>Kommentar:</t>
        </r>
        <r>
          <rPr>
            <sz val="8"/>
            <color indexed="12"/>
            <rFont val="Tahoma"/>
            <family val="2"/>
          </rPr>
          <t xml:space="preserve">
Eingabe der Kosten pro Stück.</t>
        </r>
      </text>
    </comment>
    <comment ref="E25" authorId="1" shapeId="0" xr:uid="{00000000-0006-0000-0200-000015000000}">
      <text>
        <r>
          <rPr>
            <b/>
            <sz val="8"/>
            <color indexed="12"/>
            <rFont val="Tahoma"/>
            <family val="2"/>
          </rPr>
          <t>Kommentar:</t>
        </r>
        <r>
          <rPr>
            <sz val="8"/>
            <color indexed="12"/>
            <rFont val="Tahoma"/>
            <family val="2"/>
          </rPr>
          <t xml:space="preserve">
Eingabe der Kosten pro Stück.</t>
        </r>
      </text>
    </comment>
    <comment ref="F25" authorId="1" shapeId="0" xr:uid="{00000000-0006-0000-0200-000016000000}">
      <text>
        <r>
          <rPr>
            <b/>
            <sz val="8"/>
            <color indexed="12"/>
            <rFont val="Tahoma"/>
            <family val="2"/>
          </rPr>
          <t>Kommentar:</t>
        </r>
        <r>
          <rPr>
            <sz val="8"/>
            <color indexed="12"/>
            <rFont val="Tahoma"/>
            <family val="2"/>
          </rPr>
          <t xml:space="preserve">
Eingabe der Kosten pro Stück.</t>
        </r>
      </text>
    </comment>
    <comment ref="G25" authorId="1" shapeId="0" xr:uid="{00000000-0006-0000-0200-000017000000}">
      <text>
        <r>
          <rPr>
            <b/>
            <sz val="8"/>
            <color indexed="12"/>
            <rFont val="Tahoma"/>
            <family val="2"/>
          </rPr>
          <t>Kommentar:</t>
        </r>
        <r>
          <rPr>
            <sz val="8"/>
            <color indexed="12"/>
            <rFont val="Tahoma"/>
            <family val="2"/>
          </rPr>
          <t xml:space="preserve">
Eingabe der Kosten pro Stück.</t>
        </r>
      </text>
    </comment>
    <comment ref="H25" authorId="1" shapeId="0" xr:uid="{00000000-0006-0000-0200-000018000000}">
      <text>
        <r>
          <rPr>
            <b/>
            <sz val="8"/>
            <color indexed="12"/>
            <rFont val="Tahoma"/>
            <family val="2"/>
          </rPr>
          <t>Kommentar:</t>
        </r>
        <r>
          <rPr>
            <sz val="8"/>
            <color indexed="12"/>
            <rFont val="Tahoma"/>
            <family val="2"/>
          </rPr>
          <t xml:space="preserve">
Eingabe der Kosten pro Stück.</t>
        </r>
      </text>
    </comment>
    <comment ref="F31" authorId="0" shapeId="0" xr:uid="{00000000-0006-0000-0200-000019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31" authorId="0" shapeId="0" xr:uid="{00000000-0006-0000-0200-00001A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31" authorId="0" shapeId="0" xr:uid="{00000000-0006-0000-0200-00001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36" authorId="1" shapeId="0" xr:uid="{00000000-0006-0000-0200-00001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36" authorId="1" shapeId="0" xr:uid="{00000000-0006-0000-0200-00001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36" authorId="1" shapeId="0" xr:uid="{00000000-0006-0000-0200-00001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36" authorId="1" shapeId="0" xr:uid="{00000000-0006-0000-0200-00001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36" authorId="1" shapeId="0" xr:uid="{00000000-0006-0000-0200-00002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41" authorId="0" shapeId="0" xr:uid="{00000000-0006-0000-0200-000021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41" authorId="0" shapeId="0" xr:uid="{00000000-0006-0000-0200-000022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41" authorId="0" shapeId="0" xr:uid="{00000000-0006-0000-0200-000023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46" authorId="1" shapeId="0" xr:uid="{00000000-0006-0000-0200-00002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46" authorId="1" shapeId="0" xr:uid="{00000000-0006-0000-0200-00002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46" authorId="1" shapeId="0" xr:uid="{00000000-0006-0000-0200-00002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46" authorId="1" shapeId="0" xr:uid="{00000000-0006-0000-0200-00002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46" authorId="1" shapeId="0" xr:uid="{00000000-0006-0000-0200-00002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51" authorId="0" shapeId="0" xr:uid="{00000000-0006-0000-0200-000029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51" authorId="0" shapeId="0" xr:uid="{00000000-0006-0000-0200-00002A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51" authorId="0" shapeId="0" xr:uid="{00000000-0006-0000-0200-00002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56" authorId="1" shapeId="0" xr:uid="{00000000-0006-0000-0200-00002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56" authorId="1" shapeId="0" xr:uid="{00000000-0006-0000-0200-00002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56" authorId="1" shapeId="0" xr:uid="{00000000-0006-0000-0200-00002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56" authorId="1" shapeId="0" xr:uid="{00000000-0006-0000-0200-00002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56" authorId="1" shapeId="0" xr:uid="{00000000-0006-0000-0200-00003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61" authorId="0" shapeId="0" xr:uid="{00000000-0006-0000-0200-000031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61" authorId="0" shapeId="0" xr:uid="{00000000-0006-0000-0200-000032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61" authorId="0" shapeId="0" xr:uid="{00000000-0006-0000-0200-000033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66" authorId="1" shapeId="0" xr:uid="{00000000-0006-0000-0200-00003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66" authorId="1" shapeId="0" xr:uid="{00000000-0006-0000-0200-00003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66" authorId="1" shapeId="0" xr:uid="{00000000-0006-0000-0200-00003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66" authorId="1" shapeId="0" xr:uid="{00000000-0006-0000-0200-00003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66" authorId="1" shapeId="0" xr:uid="{00000000-0006-0000-0200-00003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71" authorId="0" shapeId="0" xr:uid="{00000000-0006-0000-0200-000039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71" authorId="0" shapeId="0" xr:uid="{00000000-0006-0000-0200-00003A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71" authorId="0" shapeId="0" xr:uid="{00000000-0006-0000-0200-00003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76" authorId="1" shapeId="0" xr:uid="{00000000-0006-0000-0200-00003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76" authorId="1" shapeId="0" xr:uid="{00000000-0006-0000-0200-00003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76" authorId="1" shapeId="0" xr:uid="{00000000-0006-0000-0200-00003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76" authorId="1" shapeId="0" xr:uid="{00000000-0006-0000-0200-00003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76" authorId="1" shapeId="0" xr:uid="{00000000-0006-0000-0200-00004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81" authorId="0" shapeId="0" xr:uid="{00000000-0006-0000-0200-000041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81" authorId="0" shapeId="0" xr:uid="{00000000-0006-0000-0200-000042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81" authorId="0" shapeId="0" xr:uid="{00000000-0006-0000-0200-000043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86" authorId="1" shapeId="0" xr:uid="{00000000-0006-0000-0200-00004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86" authorId="1" shapeId="0" xr:uid="{00000000-0006-0000-0200-00004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86" authorId="1" shapeId="0" xr:uid="{00000000-0006-0000-0200-00004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86" authorId="1" shapeId="0" xr:uid="{00000000-0006-0000-0200-00004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86" authorId="1" shapeId="0" xr:uid="{00000000-0006-0000-0200-00004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91" authorId="0" shapeId="0" xr:uid="{00000000-0006-0000-0200-000049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91" authorId="0" shapeId="0" xr:uid="{00000000-0006-0000-0200-00004A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91" authorId="0" shapeId="0" xr:uid="{00000000-0006-0000-0200-00004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96" authorId="1" shapeId="0" xr:uid="{00000000-0006-0000-0200-00004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96" authorId="1" shapeId="0" xr:uid="{00000000-0006-0000-0200-00004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96" authorId="1" shapeId="0" xr:uid="{00000000-0006-0000-0200-00004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96" authorId="1" shapeId="0" xr:uid="{00000000-0006-0000-0200-00004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96" authorId="1" shapeId="0" xr:uid="{00000000-0006-0000-0200-00005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01" authorId="0" shapeId="0" xr:uid="{00000000-0006-0000-0200-000051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101" authorId="0" shapeId="0" xr:uid="{00000000-0006-0000-0200-000052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101" authorId="0" shapeId="0" xr:uid="{00000000-0006-0000-0200-000053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106" authorId="1" shapeId="0" xr:uid="{00000000-0006-0000-0200-00005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06" authorId="1" shapeId="0" xr:uid="{00000000-0006-0000-0200-00005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06" authorId="1" shapeId="0" xr:uid="{00000000-0006-0000-0200-00005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06" authorId="1" shapeId="0" xr:uid="{00000000-0006-0000-0200-00005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06" authorId="1" shapeId="0" xr:uid="{00000000-0006-0000-0200-00005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11" authorId="0" shapeId="0" xr:uid="{00000000-0006-0000-0200-000059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111" authorId="0" shapeId="0" xr:uid="{00000000-0006-0000-0200-00005A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111" authorId="0" shapeId="0" xr:uid="{00000000-0006-0000-0200-00005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116" authorId="1" shapeId="0" xr:uid="{00000000-0006-0000-0200-00005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16" authorId="1" shapeId="0" xr:uid="{00000000-0006-0000-0200-00005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16" authorId="1" shapeId="0" xr:uid="{00000000-0006-0000-0200-00005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16" authorId="1" shapeId="0" xr:uid="{00000000-0006-0000-0200-00005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16" authorId="1" shapeId="0" xr:uid="{00000000-0006-0000-0200-00006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22" authorId="0" shapeId="0" xr:uid="{00000000-0006-0000-0200-000061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122" authorId="0" shapeId="0" xr:uid="{00000000-0006-0000-0200-000062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122" authorId="0" shapeId="0" xr:uid="{00000000-0006-0000-0200-000063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125" authorId="0" shapeId="0" xr:uid="{00000000-0006-0000-0200-000064000000}">
      <text>
        <r>
          <rPr>
            <b/>
            <sz val="8"/>
            <color indexed="12"/>
            <rFont val="Tahoma"/>
            <family val="2"/>
          </rPr>
          <t>Kommentar:
Straße ländlich nur bei Druckleitung zulässig!</t>
        </r>
      </text>
    </comment>
    <comment ref="E125" authorId="0" shapeId="0" xr:uid="{00000000-0006-0000-0200-000065000000}">
      <text>
        <r>
          <rPr>
            <b/>
            <sz val="8"/>
            <color indexed="12"/>
            <rFont val="Tahoma"/>
            <family val="2"/>
          </rPr>
          <t>Kommentar:
Straße ländlich nur bei Druckleitung zulässig!</t>
        </r>
      </text>
    </comment>
    <comment ref="F125" authorId="0" shapeId="0" xr:uid="{00000000-0006-0000-0200-000066000000}">
      <text>
        <r>
          <rPr>
            <b/>
            <sz val="8"/>
            <color indexed="12"/>
            <rFont val="Tahoma"/>
            <family val="2"/>
          </rPr>
          <t>Kommentar:
Straße ländlich nur bei Druckleitung zulässig!</t>
        </r>
      </text>
    </comment>
    <comment ref="G125" authorId="0" shapeId="0" xr:uid="{00000000-0006-0000-0200-000067000000}">
      <text>
        <r>
          <rPr>
            <b/>
            <sz val="8"/>
            <color indexed="12"/>
            <rFont val="Tahoma"/>
            <family val="2"/>
          </rPr>
          <t>Kommentar:
Straße ländlich nur bei Druckleitung zulässig!</t>
        </r>
      </text>
    </comment>
    <comment ref="H125" authorId="0" shapeId="0" xr:uid="{00000000-0006-0000-0200-000068000000}">
      <text>
        <r>
          <rPr>
            <b/>
            <sz val="8"/>
            <color indexed="12"/>
            <rFont val="Tahoma"/>
            <family val="2"/>
          </rPr>
          <t>Kommentar:
Straße ländlich nur bei Druckleitung zulässig!</t>
        </r>
      </text>
    </comment>
    <comment ref="D127" authorId="1" shapeId="0" xr:uid="{00000000-0006-0000-0200-000069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27" authorId="1" shapeId="0" xr:uid="{00000000-0006-0000-0200-00006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27" authorId="1" shapeId="0" xr:uid="{00000000-0006-0000-0200-00006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27" authorId="1" shapeId="0" xr:uid="{00000000-0006-0000-0200-00006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27" authorId="1" shapeId="0" xr:uid="{00000000-0006-0000-0200-00006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33" authorId="0" shapeId="0" xr:uid="{00000000-0006-0000-0200-00006E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133" authorId="0" shapeId="0" xr:uid="{00000000-0006-0000-0200-00006F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133" authorId="0" shapeId="0" xr:uid="{00000000-0006-0000-0200-000070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136" authorId="0" shapeId="0" xr:uid="{00000000-0006-0000-0200-000071000000}">
      <text>
        <r>
          <rPr>
            <b/>
            <sz val="8"/>
            <color indexed="12"/>
            <rFont val="Tahoma"/>
            <family val="2"/>
          </rPr>
          <t>Kommentar:
Straße ländlich nur bei Druckleitung zulässig!</t>
        </r>
      </text>
    </comment>
    <comment ref="E136" authorId="0" shapeId="0" xr:uid="{00000000-0006-0000-0200-000072000000}">
      <text>
        <r>
          <rPr>
            <b/>
            <sz val="8"/>
            <color indexed="12"/>
            <rFont val="Tahoma"/>
            <family val="2"/>
          </rPr>
          <t>Kommentar:
Straße ländlich nur bei Druckleitung zulässig!</t>
        </r>
      </text>
    </comment>
    <comment ref="F136" authorId="0" shapeId="0" xr:uid="{00000000-0006-0000-0200-000073000000}">
      <text>
        <r>
          <rPr>
            <b/>
            <sz val="8"/>
            <color indexed="12"/>
            <rFont val="Tahoma"/>
            <family val="2"/>
          </rPr>
          <t>Kommentar:
Straße ländlich nur bei Druckleitung zulässig!</t>
        </r>
      </text>
    </comment>
    <comment ref="G136" authorId="0" shapeId="0" xr:uid="{00000000-0006-0000-0200-000074000000}">
      <text>
        <r>
          <rPr>
            <b/>
            <sz val="8"/>
            <color indexed="12"/>
            <rFont val="Tahoma"/>
            <family val="2"/>
          </rPr>
          <t>Kommentar:
Straße ländlich nur bei Druckleitung zulässig!</t>
        </r>
      </text>
    </comment>
    <comment ref="H136" authorId="0" shapeId="0" xr:uid="{00000000-0006-0000-0200-000075000000}">
      <text>
        <r>
          <rPr>
            <b/>
            <sz val="8"/>
            <color indexed="12"/>
            <rFont val="Tahoma"/>
            <family val="2"/>
          </rPr>
          <t>Kommentar:
Straße ländlich nur bei Druckleitung zulässig!</t>
        </r>
      </text>
    </comment>
    <comment ref="D138" authorId="1" shapeId="0" xr:uid="{00000000-0006-0000-0200-00007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38" authorId="1" shapeId="0" xr:uid="{00000000-0006-0000-0200-00007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38" authorId="1" shapeId="0" xr:uid="{00000000-0006-0000-0200-00007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38" authorId="1" shapeId="0" xr:uid="{00000000-0006-0000-0200-000079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38" authorId="1" shapeId="0" xr:uid="{00000000-0006-0000-0200-00007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44" authorId="0" shapeId="0" xr:uid="{00000000-0006-0000-0200-00007B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G144" authorId="0" shapeId="0" xr:uid="{00000000-0006-0000-0200-00007C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H144" authorId="0" shapeId="0" xr:uid="{00000000-0006-0000-0200-00007D000000}">
      <text>
        <r>
          <rPr>
            <b/>
            <sz val="8"/>
            <color indexed="12"/>
            <rFont val="Tahoma"/>
            <family val="2"/>
          </rPr>
          <t>Kommentar:
Auch bei grundstücksbezogenen Kleinkläranlagen
müssen innerörtliche Kanäle berücksichtigt werden, 
z.B. zur Ableitung des gereinigten Abwassers 
und des Niederschlagswassers.
 Nicht jedes Grundstück verfügt
 über eine direkte Möglichkeit zur Einleitung.</t>
        </r>
      </text>
    </comment>
    <comment ref="D147" authorId="0" shapeId="0" xr:uid="{00000000-0006-0000-0200-00007E000000}">
      <text>
        <r>
          <rPr>
            <b/>
            <sz val="8"/>
            <color indexed="12"/>
            <rFont val="Tahoma"/>
            <family val="2"/>
          </rPr>
          <t>Kommentar:
Straße ländlich nur bei Druckleitung zulässig!</t>
        </r>
      </text>
    </comment>
    <comment ref="E147" authorId="0" shapeId="0" xr:uid="{00000000-0006-0000-0200-00007F000000}">
      <text>
        <r>
          <rPr>
            <b/>
            <sz val="8"/>
            <color indexed="12"/>
            <rFont val="Tahoma"/>
            <family val="2"/>
          </rPr>
          <t>Kommentar:
Straße ländlich nur bei Druckleitung zulässig!</t>
        </r>
      </text>
    </comment>
    <comment ref="F147" authorId="0" shapeId="0" xr:uid="{00000000-0006-0000-0200-000080000000}">
      <text>
        <r>
          <rPr>
            <b/>
            <sz val="8"/>
            <color indexed="12"/>
            <rFont val="Tahoma"/>
            <family val="2"/>
          </rPr>
          <t>Kommentar:
Straße ländlich nur bei Druckleitung zulässig!</t>
        </r>
      </text>
    </comment>
    <comment ref="G147" authorId="0" shapeId="0" xr:uid="{00000000-0006-0000-0200-000081000000}">
      <text>
        <r>
          <rPr>
            <b/>
            <sz val="8"/>
            <color indexed="12"/>
            <rFont val="Tahoma"/>
            <family val="2"/>
          </rPr>
          <t>Kommentar:
Straße ländlich nur bei Druckleitung zulässig!</t>
        </r>
      </text>
    </comment>
    <comment ref="H147" authorId="0" shapeId="0" xr:uid="{00000000-0006-0000-0200-000082000000}">
      <text>
        <r>
          <rPr>
            <b/>
            <sz val="8"/>
            <color indexed="12"/>
            <rFont val="Tahoma"/>
            <family val="2"/>
          </rPr>
          <t>Kommentar:
Straße ländlich nur bei Druckleitung zulässig!</t>
        </r>
      </text>
    </comment>
    <comment ref="D149" authorId="1" shapeId="0" xr:uid="{00000000-0006-0000-0200-000083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49" authorId="1" shapeId="0" xr:uid="{00000000-0006-0000-0200-00008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49" authorId="1" shapeId="0" xr:uid="{00000000-0006-0000-0200-00008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49" authorId="1" shapeId="0" xr:uid="{00000000-0006-0000-0200-00008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49" authorId="1" shapeId="0" xr:uid="{00000000-0006-0000-0200-000087000000}">
      <text>
        <r>
          <rPr>
            <b/>
            <sz val="8"/>
            <color indexed="12"/>
            <rFont val="Tahoma"/>
            <family val="2"/>
          </rPr>
          <t xml:space="preserve">Kommentar:
</t>
        </r>
        <r>
          <rPr>
            <sz val="8"/>
            <color indexed="12"/>
            <rFont val="Tahoma"/>
            <family val="2"/>
          </rPr>
          <t xml:space="preserve">Eingabe von Gesamtkosten erforderlich, keine spezifischen Kosten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soldner</author>
    <author>Lüder, Jedele und Partner</author>
  </authors>
  <commentList>
    <comment ref="B7" authorId="0" shapeId="0" xr:uid="{00000000-0006-0000-0300-000001000000}">
      <text>
        <r>
          <rPr>
            <b/>
            <sz val="8"/>
            <color indexed="81"/>
            <rFont val="Tahoma"/>
            <family val="2"/>
          </rPr>
          <t xml:space="preserve">Kommentar:
</t>
        </r>
        <r>
          <rPr>
            <b/>
            <sz val="8"/>
            <color indexed="12"/>
            <rFont val="Tahoma"/>
            <family val="2"/>
          </rPr>
          <t>Wenn ein Pumpwerk geplant oder vorgesehen ist, 
hier bitte die die Förderleistung des Pumpwerkes in l/s eintragen. 
Sie bestimmt die Investitions- und Wartungskosten</t>
        </r>
        <r>
          <rPr>
            <b/>
            <sz val="8"/>
            <color indexed="81"/>
            <rFont val="Tahoma"/>
            <family val="2"/>
          </rPr>
          <t xml:space="preserve">
</t>
        </r>
      </text>
    </comment>
    <comment ref="B8" authorId="0" shapeId="0" xr:uid="{00000000-0006-0000-0300-000002000000}">
      <text>
        <r>
          <rPr>
            <b/>
            <sz val="8"/>
            <color indexed="12"/>
            <rFont val="Tahoma"/>
            <family val="2"/>
          </rPr>
          <t xml:space="preserve">Kommentar::
Wenn ein Pumpwerk geplant oder vorgesehen ist, 
hier bitte die anzuschließenden EW eintragen.
Sie bestimmen mit vereinfachter Berechnung die Energiekosten.
</t>
        </r>
      </text>
    </comment>
    <comment ref="D9" authorId="1" shapeId="0" xr:uid="{00000000-0006-0000-0300-000003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9" authorId="1" shapeId="0" xr:uid="{00000000-0006-0000-0300-00000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9" authorId="1" shapeId="0" xr:uid="{00000000-0006-0000-0300-00000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9" authorId="1" shapeId="0" xr:uid="{00000000-0006-0000-0300-00000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9" authorId="1" shapeId="0" xr:uid="{00000000-0006-0000-0300-00000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B16" authorId="0" shapeId="0" xr:uid="{00000000-0006-0000-0300-000008000000}">
      <text>
        <r>
          <rPr>
            <b/>
            <sz val="8"/>
            <color indexed="81"/>
            <rFont val="Tahoma"/>
            <family val="2"/>
          </rPr>
          <t xml:space="preserve">Kommentar:
</t>
        </r>
        <r>
          <rPr>
            <b/>
            <sz val="8"/>
            <color indexed="12"/>
            <rFont val="Tahoma"/>
            <family val="2"/>
          </rPr>
          <t>Wenn ein Pumpwerk geplant oder vorgesehen ist, 
hier bitte die die Förderleistung des Pumpwerkes in l/s eintragen. 
Sie bestimmt die Investitions- und Wartungskosten</t>
        </r>
        <r>
          <rPr>
            <b/>
            <sz val="8"/>
            <color indexed="81"/>
            <rFont val="Tahoma"/>
            <family val="2"/>
          </rPr>
          <t xml:space="preserve">
</t>
        </r>
      </text>
    </comment>
    <comment ref="B17" authorId="0" shapeId="0" xr:uid="{00000000-0006-0000-0300-000009000000}">
      <text>
        <r>
          <rPr>
            <b/>
            <sz val="8"/>
            <color indexed="12"/>
            <rFont val="Tahoma"/>
            <family val="2"/>
          </rPr>
          <t xml:space="preserve">Kommentar::
Wenn ein Pumpwerk geplant oder vorgesehen ist, 
hier bitte die anzuschließenden EW eintragen.
Sie bestimmen mit vereinfachter Berechnung die Energiekosten.
</t>
        </r>
      </text>
    </comment>
    <comment ref="D18" authorId="1" shapeId="0" xr:uid="{00000000-0006-0000-0300-00000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8" authorId="1" shapeId="0" xr:uid="{00000000-0006-0000-0300-00000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8" authorId="1" shapeId="0" xr:uid="{00000000-0006-0000-0300-00000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8" authorId="1" shapeId="0" xr:uid="{00000000-0006-0000-0300-00000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8" authorId="1" shapeId="0" xr:uid="{00000000-0006-0000-0300-00000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B25" authorId="0" shapeId="0" xr:uid="{00000000-0006-0000-0300-00000F000000}">
      <text>
        <r>
          <rPr>
            <b/>
            <sz val="8"/>
            <color indexed="81"/>
            <rFont val="Tahoma"/>
            <family val="2"/>
          </rPr>
          <t xml:space="preserve">Kommentar:
</t>
        </r>
        <r>
          <rPr>
            <b/>
            <sz val="8"/>
            <color indexed="12"/>
            <rFont val="Tahoma"/>
            <family val="2"/>
          </rPr>
          <t>Wenn ein Pumpwerk geplant oder vorgesehen ist, 
hier bitte die Förderleistung des Pumpwerkes in l/s eintragen. 
Sie bestimmt die Investitions- und Wartungskosten</t>
        </r>
        <r>
          <rPr>
            <b/>
            <sz val="8"/>
            <color indexed="81"/>
            <rFont val="Tahoma"/>
            <family val="2"/>
          </rPr>
          <t xml:space="preserve">
</t>
        </r>
      </text>
    </comment>
    <comment ref="B26" authorId="0" shapeId="0" xr:uid="{00000000-0006-0000-0300-000010000000}">
      <text>
        <r>
          <rPr>
            <b/>
            <sz val="8"/>
            <color indexed="12"/>
            <rFont val="Tahoma"/>
            <family val="2"/>
          </rPr>
          <t xml:space="preserve">Kommentar::
Wenn ein Pumpwerk geplant oder vorgesehen ist, 
hier bitte die anzuschließenden EW eintragen.
Sie bestimmen mit vereinfachter Berechnung die Energiekosten.
</t>
        </r>
      </text>
    </comment>
    <comment ref="D27" authorId="1" shapeId="0" xr:uid="{00000000-0006-0000-0300-000011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27" authorId="1" shapeId="0" xr:uid="{00000000-0006-0000-0300-000012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27" authorId="1" shapeId="0" xr:uid="{00000000-0006-0000-0300-000013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27" authorId="1" shapeId="0" xr:uid="{00000000-0006-0000-0300-00001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27" authorId="1" shapeId="0" xr:uid="{00000000-0006-0000-0300-00001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B34" authorId="0" shapeId="0" xr:uid="{00000000-0006-0000-0300-000016000000}">
      <text>
        <r>
          <rPr>
            <b/>
            <sz val="8"/>
            <color indexed="81"/>
            <rFont val="Tahoma"/>
            <family val="2"/>
          </rPr>
          <t xml:space="preserve">Kommentar:
</t>
        </r>
        <r>
          <rPr>
            <b/>
            <sz val="8"/>
            <color indexed="12"/>
            <rFont val="Tahoma"/>
            <family val="2"/>
          </rPr>
          <t>Wenn ein Pumpwerk geplant oder vorgesehen ist, 
hier bitte die Förderleistung des Pumpwerkes in l/s eintragen. 
Sie bestimmt die Investitions- und Wartungskosten</t>
        </r>
        <r>
          <rPr>
            <b/>
            <sz val="8"/>
            <color indexed="81"/>
            <rFont val="Tahoma"/>
            <family val="2"/>
          </rPr>
          <t xml:space="preserve">
</t>
        </r>
      </text>
    </comment>
    <comment ref="B35" authorId="0" shapeId="0" xr:uid="{00000000-0006-0000-0300-000017000000}">
      <text>
        <r>
          <rPr>
            <b/>
            <sz val="8"/>
            <color indexed="12"/>
            <rFont val="Tahoma"/>
            <family val="2"/>
          </rPr>
          <t xml:space="preserve">Kommentar::
Wenn ein Pumpwerk geplant oder vorgesehen ist, 
hier bitte die anzuschließenden EW eintragen.
Sie bestimmen mit vereinfachter Berechnung die Energiekosten.
</t>
        </r>
      </text>
    </comment>
    <comment ref="D36" authorId="1" shapeId="0" xr:uid="{00000000-0006-0000-0300-00001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36" authorId="1" shapeId="0" xr:uid="{00000000-0006-0000-0300-000019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36" authorId="1" shapeId="0" xr:uid="{00000000-0006-0000-0300-00001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36" authorId="1" shapeId="0" xr:uid="{00000000-0006-0000-0300-00001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36" authorId="1" shapeId="0" xr:uid="{00000000-0006-0000-0300-00001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B43" authorId="0" shapeId="0" xr:uid="{00000000-0006-0000-0300-00001D000000}">
      <text>
        <r>
          <rPr>
            <b/>
            <sz val="8"/>
            <color indexed="81"/>
            <rFont val="Tahoma"/>
            <family val="2"/>
          </rPr>
          <t xml:space="preserve">Kommentar:
</t>
        </r>
        <r>
          <rPr>
            <b/>
            <sz val="8"/>
            <color indexed="12"/>
            <rFont val="Tahoma"/>
            <family val="2"/>
          </rPr>
          <t>Wenn ein Pumpwerk geplant oder vorgesehen ist, 
hier bitte die Förderleistung des Pumpwerkes in l/s eintragen. 
Sie bestimmt die Investitions- und Wartungskosten</t>
        </r>
        <r>
          <rPr>
            <b/>
            <sz val="8"/>
            <color indexed="81"/>
            <rFont val="Tahoma"/>
            <family val="2"/>
          </rPr>
          <t xml:space="preserve">
</t>
        </r>
      </text>
    </comment>
    <comment ref="B44" authorId="0" shapeId="0" xr:uid="{00000000-0006-0000-0300-00001E000000}">
      <text>
        <r>
          <rPr>
            <b/>
            <sz val="8"/>
            <color indexed="12"/>
            <rFont val="Tahoma"/>
            <family val="2"/>
          </rPr>
          <t xml:space="preserve">Kommentar::
Wenn ein Pumpwerk geplant oder vorgesehen ist, 
hier bitte die anzuschließenden EW eintragen.
Sie bestimmen mit vereinfachter Berechnung die Energiekosten.
</t>
        </r>
      </text>
    </comment>
    <comment ref="D45" authorId="1" shapeId="0" xr:uid="{00000000-0006-0000-0300-00001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45" authorId="1" shapeId="0" xr:uid="{00000000-0006-0000-0300-00002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45" authorId="1" shapeId="0" xr:uid="{00000000-0006-0000-0300-000021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45" authorId="1" shapeId="0" xr:uid="{00000000-0006-0000-0300-000022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45" authorId="1" shapeId="0" xr:uid="{00000000-0006-0000-0300-000023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53" authorId="1" shapeId="0" xr:uid="{00000000-0006-0000-0300-00002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53" authorId="1" shapeId="0" xr:uid="{00000000-0006-0000-0300-00002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53" authorId="1" shapeId="0" xr:uid="{00000000-0006-0000-0300-00002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53" authorId="1" shapeId="0" xr:uid="{00000000-0006-0000-0300-00002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53" authorId="1" shapeId="0" xr:uid="{00000000-0006-0000-0300-00002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B60" authorId="0" shapeId="0" xr:uid="{00000000-0006-0000-0300-000029000000}">
      <text>
        <r>
          <rPr>
            <b/>
            <sz val="8"/>
            <color indexed="81"/>
            <rFont val="Tahoma"/>
            <family val="2"/>
          </rPr>
          <t xml:space="preserve">Kommentar:
</t>
        </r>
        <r>
          <rPr>
            <b/>
            <sz val="8"/>
            <color indexed="12"/>
            <rFont val="Tahoma"/>
            <family val="2"/>
          </rPr>
          <t>Wenn ein Pumpwerk geplant oder vorgesehen ist, 
hier bitte die die Förderleistung des Pumpwerkes in l/s eintragen. 
Sie bestimmt die Investitions- und Wartungskosten</t>
        </r>
        <r>
          <rPr>
            <b/>
            <sz val="8"/>
            <color indexed="81"/>
            <rFont val="Tahoma"/>
            <family val="2"/>
          </rPr>
          <t xml:space="preserve">
</t>
        </r>
      </text>
    </comment>
    <comment ref="D61" authorId="1" shapeId="0" xr:uid="{00000000-0006-0000-0300-00002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61" authorId="1" shapeId="0" xr:uid="{00000000-0006-0000-0300-00002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61" authorId="1" shapeId="0" xr:uid="{00000000-0006-0000-0300-00002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61" authorId="1" shapeId="0" xr:uid="{00000000-0006-0000-0300-00002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61" authorId="1" shapeId="0" xr:uid="{00000000-0006-0000-0300-00002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70" authorId="1" shapeId="0" xr:uid="{00000000-0006-0000-0300-00002F000000}">
      <text>
        <r>
          <rPr>
            <b/>
            <sz val="8"/>
            <color indexed="39"/>
            <rFont val="Tahoma"/>
            <family val="2"/>
          </rPr>
          <t xml:space="preserve">Kommentar: </t>
        </r>
        <r>
          <rPr>
            <sz val="8"/>
            <color indexed="39"/>
            <rFont val="Tahoma"/>
            <family val="2"/>
          </rPr>
          <t>Erdbecken nur bei RRB und RKB</t>
        </r>
      </text>
    </comment>
    <comment ref="E70" authorId="1" shapeId="0" xr:uid="{00000000-0006-0000-0300-000030000000}">
      <text>
        <r>
          <rPr>
            <b/>
            <sz val="8"/>
            <color indexed="39"/>
            <rFont val="Tahoma"/>
            <family val="2"/>
          </rPr>
          <t xml:space="preserve">Kommentar: </t>
        </r>
        <r>
          <rPr>
            <sz val="8"/>
            <color indexed="39"/>
            <rFont val="Tahoma"/>
            <family val="2"/>
          </rPr>
          <t>Erdbecken nur bei RRB und RKB</t>
        </r>
      </text>
    </comment>
    <comment ref="F70" authorId="1" shapeId="0" xr:uid="{00000000-0006-0000-0300-000031000000}">
      <text>
        <r>
          <rPr>
            <b/>
            <sz val="8"/>
            <color indexed="39"/>
            <rFont val="Tahoma"/>
            <family val="2"/>
          </rPr>
          <t xml:space="preserve">Kommentar: </t>
        </r>
        <r>
          <rPr>
            <sz val="8"/>
            <color indexed="39"/>
            <rFont val="Tahoma"/>
            <family val="2"/>
          </rPr>
          <t>Erdbecken nur bei RRB und RKB</t>
        </r>
      </text>
    </comment>
    <comment ref="G70" authorId="1" shapeId="0" xr:uid="{00000000-0006-0000-0300-000032000000}">
      <text>
        <r>
          <rPr>
            <b/>
            <sz val="8"/>
            <color indexed="39"/>
            <rFont val="Tahoma"/>
            <family val="2"/>
          </rPr>
          <t xml:space="preserve">Kommentar: </t>
        </r>
        <r>
          <rPr>
            <sz val="8"/>
            <color indexed="39"/>
            <rFont val="Tahoma"/>
            <family val="2"/>
          </rPr>
          <t>Erdbecken nur bei RRB und RKB</t>
        </r>
      </text>
    </comment>
    <comment ref="H70" authorId="1" shapeId="0" xr:uid="{00000000-0006-0000-0300-000033000000}">
      <text>
        <r>
          <rPr>
            <b/>
            <sz val="8"/>
            <color indexed="39"/>
            <rFont val="Tahoma"/>
            <family val="2"/>
          </rPr>
          <t xml:space="preserve">Kommentar: </t>
        </r>
        <r>
          <rPr>
            <sz val="8"/>
            <color indexed="39"/>
            <rFont val="Tahoma"/>
            <family val="2"/>
          </rPr>
          <t>Erdbecken nur bei RRB und RKB</t>
        </r>
      </text>
    </comment>
    <comment ref="D72" authorId="1" shapeId="0" xr:uid="{00000000-0006-0000-0300-00003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72" authorId="1" shapeId="0" xr:uid="{00000000-0006-0000-0300-00003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72" authorId="1" shapeId="0" xr:uid="{00000000-0006-0000-0300-00003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72" authorId="1" shapeId="0" xr:uid="{00000000-0006-0000-0300-00003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72" authorId="1" shapeId="0" xr:uid="{00000000-0006-0000-0300-00003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81" authorId="1" shapeId="0" xr:uid="{00000000-0006-0000-0300-000039000000}">
      <text>
        <r>
          <rPr>
            <b/>
            <sz val="8"/>
            <color indexed="39"/>
            <rFont val="Tahoma"/>
            <family val="2"/>
          </rPr>
          <t>Kommentar:</t>
        </r>
        <r>
          <rPr>
            <sz val="8"/>
            <color indexed="39"/>
            <rFont val="Tahoma"/>
            <family val="2"/>
          </rPr>
          <t xml:space="preserve"> Erdbecken nur bei RRB und RKB</t>
        </r>
      </text>
    </comment>
    <comment ref="E81" authorId="1" shapeId="0" xr:uid="{00000000-0006-0000-0300-00003A000000}">
      <text>
        <r>
          <rPr>
            <b/>
            <sz val="8"/>
            <color indexed="39"/>
            <rFont val="Tahoma"/>
            <family val="2"/>
          </rPr>
          <t xml:space="preserve">Kommentar: </t>
        </r>
        <r>
          <rPr>
            <sz val="8"/>
            <color indexed="39"/>
            <rFont val="Tahoma"/>
            <family val="2"/>
          </rPr>
          <t>Erdbecken nur bei RRB und RKB</t>
        </r>
      </text>
    </comment>
    <comment ref="F81" authorId="1" shapeId="0" xr:uid="{00000000-0006-0000-0300-00003B000000}">
      <text>
        <r>
          <rPr>
            <b/>
            <sz val="8"/>
            <color indexed="39"/>
            <rFont val="Tahoma"/>
            <family val="2"/>
          </rPr>
          <t xml:space="preserve">Kommentar: </t>
        </r>
        <r>
          <rPr>
            <sz val="8"/>
            <color indexed="39"/>
            <rFont val="Tahoma"/>
            <family val="2"/>
          </rPr>
          <t>Erdbecken nur bei RRB und RKB</t>
        </r>
      </text>
    </comment>
    <comment ref="G81" authorId="1" shapeId="0" xr:uid="{00000000-0006-0000-0300-00003C000000}">
      <text>
        <r>
          <rPr>
            <b/>
            <sz val="8"/>
            <color indexed="39"/>
            <rFont val="Tahoma"/>
            <family val="2"/>
          </rPr>
          <t xml:space="preserve">Kommentar: </t>
        </r>
        <r>
          <rPr>
            <sz val="8"/>
            <color indexed="39"/>
            <rFont val="Tahoma"/>
            <family val="2"/>
          </rPr>
          <t>Erdbecken nur bei RRB und RKB</t>
        </r>
      </text>
    </comment>
    <comment ref="H81" authorId="1" shapeId="0" xr:uid="{00000000-0006-0000-0300-00003D000000}">
      <text>
        <r>
          <rPr>
            <b/>
            <sz val="8"/>
            <color indexed="39"/>
            <rFont val="Tahoma"/>
            <family val="2"/>
          </rPr>
          <t xml:space="preserve">Kommentar: </t>
        </r>
        <r>
          <rPr>
            <sz val="8"/>
            <color indexed="39"/>
            <rFont val="Tahoma"/>
            <family val="2"/>
          </rPr>
          <t>Erdbecken nur bei RRB und RKB</t>
        </r>
      </text>
    </comment>
    <comment ref="D83" authorId="1" shapeId="0" xr:uid="{00000000-0006-0000-0300-00003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83" authorId="1" shapeId="0" xr:uid="{00000000-0006-0000-0300-00003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83" authorId="1" shapeId="0" xr:uid="{00000000-0006-0000-0300-00004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83" authorId="1" shapeId="0" xr:uid="{00000000-0006-0000-0300-000041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83" authorId="1" shapeId="0" xr:uid="{00000000-0006-0000-0300-000042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92" authorId="1" shapeId="0" xr:uid="{00000000-0006-0000-0300-000043000000}">
      <text>
        <r>
          <rPr>
            <b/>
            <sz val="8"/>
            <color indexed="39"/>
            <rFont val="Tahoma"/>
            <family val="2"/>
          </rPr>
          <t>Kommentar:</t>
        </r>
        <r>
          <rPr>
            <sz val="8"/>
            <color indexed="39"/>
            <rFont val="Tahoma"/>
            <family val="2"/>
          </rPr>
          <t xml:space="preserve"> Erdbecken nur bei RRB und RKB</t>
        </r>
      </text>
    </comment>
    <comment ref="E92" authorId="1" shapeId="0" xr:uid="{00000000-0006-0000-0300-000044000000}">
      <text>
        <r>
          <rPr>
            <b/>
            <sz val="8"/>
            <color indexed="39"/>
            <rFont val="Tahoma"/>
            <family val="2"/>
          </rPr>
          <t xml:space="preserve">Kommentar: </t>
        </r>
        <r>
          <rPr>
            <sz val="8"/>
            <color indexed="39"/>
            <rFont val="Tahoma"/>
            <family val="2"/>
          </rPr>
          <t>Erdbecken nur bei RRB und RKB</t>
        </r>
      </text>
    </comment>
    <comment ref="F92" authorId="1" shapeId="0" xr:uid="{00000000-0006-0000-0300-000045000000}">
      <text>
        <r>
          <rPr>
            <b/>
            <sz val="8"/>
            <color indexed="39"/>
            <rFont val="Tahoma"/>
            <family val="2"/>
          </rPr>
          <t>Kommentar:</t>
        </r>
        <r>
          <rPr>
            <sz val="8"/>
            <color indexed="39"/>
            <rFont val="Tahoma"/>
            <family val="2"/>
          </rPr>
          <t xml:space="preserve"> Erdbecken nur bei RRB und RKB</t>
        </r>
      </text>
    </comment>
    <comment ref="G92" authorId="1" shapeId="0" xr:uid="{00000000-0006-0000-0300-000046000000}">
      <text>
        <r>
          <rPr>
            <b/>
            <sz val="8"/>
            <color indexed="39"/>
            <rFont val="Tahoma"/>
            <family val="2"/>
          </rPr>
          <t>Kommentar:</t>
        </r>
        <r>
          <rPr>
            <sz val="8"/>
            <color indexed="39"/>
            <rFont val="Tahoma"/>
            <family val="2"/>
          </rPr>
          <t xml:space="preserve"> Erdbecken nur bei RRB und RKB</t>
        </r>
      </text>
    </comment>
    <comment ref="H92" authorId="1" shapeId="0" xr:uid="{00000000-0006-0000-0300-000047000000}">
      <text>
        <r>
          <rPr>
            <b/>
            <sz val="8"/>
            <color indexed="39"/>
            <rFont val="Tahoma"/>
            <family val="2"/>
          </rPr>
          <t>Kommentar:</t>
        </r>
        <r>
          <rPr>
            <sz val="8"/>
            <color indexed="39"/>
            <rFont val="Tahoma"/>
            <family val="2"/>
          </rPr>
          <t xml:space="preserve"> Erdbecken nur bei RRB und RKB</t>
        </r>
      </text>
    </comment>
    <comment ref="D94" authorId="1" shapeId="0" xr:uid="{00000000-0006-0000-0300-00004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94" authorId="1" shapeId="0" xr:uid="{00000000-0006-0000-0300-000049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94" authorId="1" shapeId="0" xr:uid="{00000000-0006-0000-0300-00004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94" authorId="1" shapeId="0" xr:uid="{00000000-0006-0000-0300-00004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94" authorId="1" shapeId="0" xr:uid="{00000000-0006-0000-0300-00004C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104" authorId="1" shapeId="0" xr:uid="{00000000-0006-0000-0300-00004D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04" authorId="1" shapeId="0" xr:uid="{00000000-0006-0000-0300-00004E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04" authorId="1" shapeId="0" xr:uid="{00000000-0006-0000-0300-00004F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04" authorId="1" shapeId="0" xr:uid="{00000000-0006-0000-0300-000050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04" authorId="1" shapeId="0" xr:uid="{00000000-0006-0000-0300-000051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114" authorId="1" shapeId="0" xr:uid="{00000000-0006-0000-0300-000052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14" authorId="1" shapeId="0" xr:uid="{00000000-0006-0000-0300-000053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14" authorId="1" shapeId="0" xr:uid="{00000000-0006-0000-0300-000054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14" authorId="1" shapeId="0" xr:uid="{00000000-0006-0000-0300-000055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14" authorId="1" shapeId="0" xr:uid="{00000000-0006-0000-0300-000056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124" authorId="1" shapeId="0" xr:uid="{00000000-0006-0000-0300-000057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E124" authorId="1" shapeId="0" xr:uid="{00000000-0006-0000-0300-000058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F124" authorId="1" shapeId="0" xr:uid="{00000000-0006-0000-0300-000059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G124" authorId="1" shapeId="0" xr:uid="{00000000-0006-0000-0300-00005A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H124" authorId="1" shapeId="0" xr:uid="{00000000-0006-0000-0300-00005B000000}">
      <text>
        <r>
          <rPr>
            <b/>
            <sz val="8"/>
            <color indexed="12"/>
            <rFont val="Tahoma"/>
            <family val="2"/>
          </rPr>
          <t xml:space="preserve">Kommentar:
</t>
        </r>
        <r>
          <rPr>
            <sz val="8"/>
            <color indexed="12"/>
            <rFont val="Tahoma"/>
            <family val="2"/>
          </rPr>
          <t xml:space="preserve">Eingabe von Gesamtkosten erforderlich, keine spezifischen Kosten
</t>
        </r>
      </text>
    </comment>
    <comment ref="D133" authorId="1" shapeId="0" xr:uid="{00000000-0006-0000-0300-00005C000000}">
      <text>
        <r>
          <rPr>
            <b/>
            <sz val="8"/>
            <color indexed="12"/>
            <rFont val="Tahoma"/>
            <family val="2"/>
          </rPr>
          <t>Kommentar:</t>
        </r>
        <r>
          <rPr>
            <sz val="8"/>
            <color indexed="12"/>
            <rFont val="Tahoma"/>
            <family val="2"/>
          </rPr>
          <t xml:space="preserve">
Eingabe der Kosten pro Stück.</t>
        </r>
      </text>
    </comment>
    <comment ref="E133" authorId="1" shapeId="0" xr:uid="{00000000-0006-0000-0300-00005D000000}">
      <text>
        <r>
          <rPr>
            <b/>
            <sz val="8"/>
            <color indexed="12"/>
            <rFont val="Tahoma"/>
            <family val="2"/>
          </rPr>
          <t>Kommentar:</t>
        </r>
        <r>
          <rPr>
            <sz val="8"/>
            <color indexed="12"/>
            <rFont val="Tahoma"/>
            <family val="2"/>
          </rPr>
          <t xml:space="preserve">
Eingabe der Kosten pro Stück.</t>
        </r>
      </text>
    </comment>
    <comment ref="F133" authorId="1" shapeId="0" xr:uid="{00000000-0006-0000-0300-00005E000000}">
      <text>
        <r>
          <rPr>
            <b/>
            <sz val="8"/>
            <color indexed="12"/>
            <rFont val="Tahoma"/>
            <family val="2"/>
          </rPr>
          <t>Kommentar:</t>
        </r>
        <r>
          <rPr>
            <sz val="8"/>
            <color indexed="12"/>
            <rFont val="Tahoma"/>
            <family val="2"/>
          </rPr>
          <t xml:space="preserve">
Eingabe der Kosten pro Stück.</t>
        </r>
      </text>
    </comment>
    <comment ref="G133" authorId="1" shapeId="0" xr:uid="{00000000-0006-0000-0300-00005F000000}">
      <text>
        <r>
          <rPr>
            <b/>
            <sz val="8"/>
            <color indexed="12"/>
            <rFont val="Tahoma"/>
            <family val="2"/>
          </rPr>
          <t>Kommentar:</t>
        </r>
        <r>
          <rPr>
            <sz val="8"/>
            <color indexed="12"/>
            <rFont val="Tahoma"/>
            <family val="2"/>
          </rPr>
          <t xml:space="preserve">
Eingabe der Kosten pro Stück.</t>
        </r>
      </text>
    </comment>
    <comment ref="H133" authorId="1" shapeId="0" xr:uid="{00000000-0006-0000-0300-000060000000}">
      <text>
        <r>
          <rPr>
            <b/>
            <sz val="8"/>
            <color indexed="12"/>
            <rFont val="Tahoma"/>
            <family val="2"/>
          </rPr>
          <t>Kommentar:</t>
        </r>
        <r>
          <rPr>
            <sz val="8"/>
            <color indexed="12"/>
            <rFont val="Tahoma"/>
            <family val="2"/>
          </rPr>
          <t xml:space="preserve">
Eingabe der Kosten pro Stück.</t>
        </r>
      </text>
    </comment>
    <comment ref="D142" authorId="1" shapeId="0" xr:uid="{00000000-0006-0000-0300-000061000000}">
      <text>
        <r>
          <rPr>
            <b/>
            <sz val="8"/>
            <color indexed="12"/>
            <rFont val="Tahoma"/>
            <family val="2"/>
          </rPr>
          <t>Kommentar:</t>
        </r>
        <r>
          <rPr>
            <sz val="8"/>
            <color indexed="12"/>
            <rFont val="Tahoma"/>
            <family val="2"/>
          </rPr>
          <t xml:space="preserve">
Eingabe der Kosten pro Stück.</t>
        </r>
      </text>
    </comment>
    <comment ref="E142" authorId="1" shapeId="0" xr:uid="{00000000-0006-0000-0300-000062000000}">
      <text>
        <r>
          <rPr>
            <b/>
            <sz val="8"/>
            <color indexed="12"/>
            <rFont val="Tahoma"/>
            <family val="2"/>
          </rPr>
          <t>Kommentar:</t>
        </r>
        <r>
          <rPr>
            <sz val="8"/>
            <color indexed="12"/>
            <rFont val="Tahoma"/>
            <family val="2"/>
          </rPr>
          <t xml:space="preserve">
Eingabe der Kosten pro Stück.</t>
        </r>
      </text>
    </comment>
    <comment ref="F142" authorId="1" shapeId="0" xr:uid="{00000000-0006-0000-0300-000063000000}">
      <text>
        <r>
          <rPr>
            <b/>
            <sz val="8"/>
            <color indexed="12"/>
            <rFont val="Tahoma"/>
            <family val="2"/>
          </rPr>
          <t>Kommentar:</t>
        </r>
        <r>
          <rPr>
            <sz val="8"/>
            <color indexed="12"/>
            <rFont val="Tahoma"/>
            <family val="2"/>
          </rPr>
          <t xml:space="preserve">
Eingabe der Kosten pro Stück.</t>
        </r>
      </text>
    </comment>
    <comment ref="G142" authorId="1" shapeId="0" xr:uid="{00000000-0006-0000-0300-000064000000}">
      <text>
        <r>
          <rPr>
            <b/>
            <sz val="8"/>
            <color indexed="12"/>
            <rFont val="Tahoma"/>
            <family val="2"/>
          </rPr>
          <t>Kommentar:</t>
        </r>
        <r>
          <rPr>
            <sz val="8"/>
            <color indexed="12"/>
            <rFont val="Tahoma"/>
            <family val="2"/>
          </rPr>
          <t xml:space="preserve">
Eingabe der Kosten pro Stück.</t>
        </r>
      </text>
    </comment>
    <comment ref="H142" authorId="1" shapeId="0" xr:uid="{00000000-0006-0000-0300-000065000000}">
      <text>
        <r>
          <rPr>
            <b/>
            <sz val="8"/>
            <color indexed="12"/>
            <rFont val="Tahoma"/>
            <family val="2"/>
          </rPr>
          <t>Kommentar:</t>
        </r>
        <r>
          <rPr>
            <sz val="8"/>
            <color indexed="12"/>
            <rFont val="Tahoma"/>
            <family val="2"/>
          </rPr>
          <t xml:space="preserve">
Eingabe der Kosten pro Stück.</t>
        </r>
      </text>
    </comment>
    <comment ref="D151" authorId="1" shapeId="0" xr:uid="{00000000-0006-0000-0300-000066000000}">
      <text>
        <r>
          <rPr>
            <b/>
            <sz val="8"/>
            <color indexed="12"/>
            <rFont val="Tahoma"/>
            <family val="2"/>
          </rPr>
          <t>Kommentar:</t>
        </r>
        <r>
          <rPr>
            <sz val="8"/>
            <color indexed="12"/>
            <rFont val="Tahoma"/>
            <family val="2"/>
          </rPr>
          <t xml:space="preserve">
Eingabe der Kosten pro Stück.</t>
        </r>
      </text>
    </comment>
    <comment ref="E151" authorId="1" shapeId="0" xr:uid="{00000000-0006-0000-0300-000067000000}">
      <text>
        <r>
          <rPr>
            <b/>
            <sz val="8"/>
            <color indexed="12"/>
            <rFont val="Tahoma"/>
            <family val="2"/>
          </rPr>
          <t>Kommentar:</t>
        </r>
        <r>
          <rPr>
            <sz val="8"/>
            <color indexed="12"/>
            <rFont val="Tahoma"/>
            <family val="2"/>
          </rPr>
          <t xml:space="preserve">
Eingabe der Kosten pro Stück.</t>
        </r>
      </text>
    </comment>
    <comment ref="F151" authorId="1" shapeId="0" xr:uid="{00000000-0006-0000-0300-000068000000}">
      <text>
        <r>
          <rPr>
            <b/>
            <sz val="8"/>
            <color indexed="12"/>
            <rFont val="Tahoma"/>
            <family val="2"/>
          </rPr>
          <t>Kommentar:</t>
        </r>
        <r>
          <rPr>
            <sz val="8"/>
            <color indexed="12"/>
            <rFont val="Tahoma"/>
            <family val="2"/>
          </rPr>
          <t xml:space="preserve">
Eingabe der Kosten pro Stück.</t>
        </r>
      </text>
    </comment>
    <comment ref="G151" authorId="1" shapeId="0" xr:uid="{00000000-0006-0000-0300-000069000000}">
      <text>
        <r>
          <rPr>
            <b/>
            <sz val="8"/>
            <color indexed="12"/>
            <rFont val="Tahoma"/>
            <family val="2"/>
          </rPr>
          <t>Kommentar:</t>
        </r>
        <r>
          <rPr>
            <sz val="8"/>
            <color indexed="12"/>
            <rFont val="Tahoma"/>
            <family val="2"/>
          </rPr>
          <t xml:space="preserve">
Eingabe der Kosten pro Stück.</t>
        </r>
      </text>
    </comment>
    <comment ref="H151" authorId="1" shapeId="0" xr:uid="{00000000-0006-0000-0300-00006A000000}">
      <text>
        <r>
          <rPr>
            <b/>
            <sz val="8"/>
            <color indexed="12"/>
            <rFont val="Tahoma"/>
            <family val="2"/>
          </rPr>
          <t>Kommentar:</t>
        </r>
        <r>
          <rPr>
            <sz val="8"/>
            <color indexed="12"/>
            <rFont val="Tahoma"/>
            <family val="2"/>
          </rPr>
          <t xml:space="preserve">
Eingabe der Kosten pro Stück.</t>
        </r>
      </text>
    </comment>
    <comment ref="B166" authorId="0" shapeId="0" xr:uid="{00000000-0006-0000-0300-00006B000000}">
      <text>
        <r>
          <rPr>
            <b/>
            <sz val="8"/>
            <color indexed="12"/>
            <rFont val="Tahoma"/>
            <family val="2"/>
          </rPr>
          <t>Kommentar:
Standardeinstellung: 3% (= Empfehlung LAWA als langfristiger Zinssatz für  Kommunaldarlehen),
Realzins entspricht vereinfacht Nominalzins abzüglich Inflation,
möglicher Bereich 2…6%
niedrige Zinsen begünstigen hohe Investitionen</t>
        </r>
        <r>
          <rPr>
            <sz val="8"/>
            <color indexed="12"/>
            <rFont val="Tahoma"/>
            <family val="2"/>
          </rPr>
          <t xml:space="preserve">
</t>
        </r>
      </text>
    </comment>
    <comment ref="B167" authorId="0" shapeId="0" xr:uid="{00000000-0006-0000-0300-00006C000000}">
      <text>
        <r>
          <rPr>
            <b/>
            <sz val="8"/>
            <color indexed="12"/>
            <rFont val="Tahoma"/>
            <family val="2"/>
          </rPr>
          <t xml:space="preserve">Kommentar:
Standardeinstellung 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soldner</author>
  </authors>
  <commentList>
    <comment ref="B8" authorId="0" shapeId="0" xr:uid="{00000000-0006-0000-0400-000001000000}">
      <text>
        <r>
          <rPr>
            <b/>
            <sz val="8"/>
            <color indexed="81"/>
            <rFont val="Tahoma"/>
            <family val="2"/>
          </rPr>
          <t>Kommentar:</t>
        </r>
        <r>
          <rPr>
            <sz val="8"/>
            <color indexed="81"/>
            <rFont val="Tahoma"/>
            <family val="2"/>
          </rPr>
          <t xml:space="preserve">
</t>
        </r>
        <r>
          <rPr>
            <sz val="12"/>
            <color indexed="12"/>
            <rFont val="Tahoma"/>
            <family val="2"/>
          </rPr>
          <t>Eine weitestgehende Reinigungsleistung ist das primäre Ziel der Abwasserreinigung. 
Ausgehend von regelwerkskonformen Bau und Betrieb gilt im Allgemeinen, 
dass eine größere Kläranlage eine bessere Reinigungsleistung hat. 
Dies muss sich in der Bewertung wiederspiegeln. 
Örtliche Randbedingungen sind zu berücksichtigen.</t>
        </r>
      </text>
    </comment>
    <comment ref="B9" authorId="0" shapeId="0" xr:uid="{00000000-0006-0000-0400-000002000000}">
      <text>
        <r>
          <rPr>
            <b/>
            <sz val="8"/>
            <color indexed="81"/>
            <rFont val="Tahoma"/>
            <family val="2"/>
          </rPr>
          <t>Kommentar:</t>
        </r>
        <r>
          <rPr>
            <sz val="8"/>
            <color indexed="81"/>
            <rFont val="Tahoma"/>
            <family val="2"/>
          </rPr>
          <t xml:space="preserve">
</t>
        </r>
        <r>
          <rPr>
            <b/>
            <sz val="12"/>
            <color indexed="12"/>
            <rFont val="Tahoma"/>
            <family val="2"/>
          </rPr>
          <t>Ausgehend von regelwerkskonformen Bau und Betrieb gilt im Allgemeinen, 
dass eine größere Kläranlage sicherer und stabiler läuft. 
Dies muss sich in der Bewertung wiederspiegeln. 
Örtliche Randbedingungen sind zu berücksichtigen.</t>
        </r>
      </text>
    </comment>
    <comment ref="B10" authorId="0" shapeId="0" xr:uid="{00000000-0006-0000-0400-000003000000}">
      <text>
        <r>
          <rPr>
            <b/>
            <sz val="8"/>
            <color indexed="81"/>
            <rFont val="Tahoma"/>
            <family val="2"/>
          </rPr>
          <t>Kommentar:</t>
        </r>
        <r>
          <rPr>
            <sz val="8"/>
            <color indexed="81"/>
            <rFont val="Tahoma"/>
            <family val="2"/>
          </rPr>
          <t xml:space="preserve">
</t>
        </r>
        <r>
          <rPr>
            <sz val="12"/>
            <color indexed="12"/>
            <rFont val="Tahoma"/>
            <family val="2"/>
          </rPr>
          <t xml:space="preserve">Für die Wasserführung in einem Gewässer sind mehrere Einleitungen besser 
als die Einleitung einer großen Menge an einer Stelle. 
Die Grundwasserneubildung beginnt "an Ort und Stelle" und nicht erst weit flussabwärts. </t>
        </r>
      </text>
    </comment>
    <comment ref="B11" authorId="0" shapeId="0" xr:uid="{00000000-0006-0000-0400-000004000000}">
      <text>
        <r>
          <rPr>
            <b/>
            <sz val="8"/>
            <color indexed="81"/>
            <rFont val="Tahoma"/>
            <family val="2"/>
          </rPr>
          <t>Kommentar:</t>
        </r>
        <r>
          <rPr>
            <sz val="8"/>
            <color indexed="81"/>
            <rFont val="Tahoma"/>
            <family val="2"/>
          </rPr>
          <t xml:space="preserve">
</t>
        </r>
        <r>
          <rPr>
            <sz val="12"/>
            <color indexed="12"/>
            <rFont val="Tahoma"/>
            <family val="2"/>
          </rPr>
          <t>Hier sind die örtlichen Gegebenheiten und Randbedingungen bezüglich der Landschaftlichen Einbindung gemeint. 
(Passt die geplante Kläranlage an diese Stelle?). 
Bei einer Überleitung in eine bereits vorhandene Kläranlage ist beispielsweise keine zusätzliche Bebauung erforderlich.</t>
        </r>
        <r>
          <rPr>
            <sz val="8"/>
            <color indexed="81"/>
            <rFont val="Tahoma"/>
            <family val="2"/>
          </rPr>
          <t xml:space="preserve"> </t>
        </r>
      </text>
    </comment>
    <comment ref="B12" authorId="0" shapeId="0" xr:uid="{00000000-0006-0000-0400-000005000000}">
      <text>
        <r>
          <rPr>
            <b/>
            <sz val="8"/>
            <color indexed="81"/>
            <rFont val="Tahoma"/>
            <family val="2"/>
          </rPr>
          <t>Kommentar:</t>
        </r>
        <r>
          <rPr>
            <sz val="8"/>
            <color indexed="81"/>
            <rFont val="Tahoma"/>
            <family val="2"/>
          </rPr>
          <t xml:space="preserve">
</t>
        </r>
        <r>
          <rPr>
            <sz val="12"/>
            <color indexed="12"/>
            <rFont val="Tahoma"/>
            <family val="2"/>
          </rPr>
          <t xml:space="preserve">Im Kriterium "Demografische Entwicklung" soll die Flexibilität für künftige Bevölkerungsentwicklungen berücksichtigt werden. 
Aufgrund der kürzeren Nutzungsdauer können hier kleinere Systeme vorteilhafter sein </t>
        </r>
      </text>
    </comment>
    <comment ref="B13" authorId="0" shapeId="0" xr:uid="{00000000-0006-0000-0400-000006000000}">
      <text>
        <r>
          <rPr>
            <b/>
            <sz val="8"/>
            <color indexed="81"/>
            <rFont val="Tahoma"/>
            <family val="2"/>
          </rPr>
          <t>Kommentar:</t>
        </r>
        <r>
          <rPr>
            <sz val="8"/>
            <color indexed="81"/>
            <rFont val="Tahoma"/>
            <family val="2"/>
          </rPr>
          <t xml:space="preserve">
</t>
        </r>
        <r>
          <rPr>
            <sz val="12"/>
            <color indexed="12"/>
            <rFont val="Tahoma"/>
            <family val="2"/>
          </rPr>
          <t>im Allgemeinen gilt: je größer die Ausbaugröße einer Kläranlage, 
desto besser wird die Anlage kontrolliert. 
Eine amtliche Kontrolle ist beispielsweise bei Grundstücksbezogenen Kleinkläranlagen nicht vorgesehen, 
das führt zur Abwertung. Mit fehlender Kontrolle vermindert sich auch die Möglichkeit, 
den Prozess zu beurteilen und entsprechend zu steuern.</t>
        </r>
      </text>
    </comment>
    <comment ref="C16" authorId="0" shapeId="0" xr:uid="{00000000-0006-0000-0400-000007000000}">
      <text>
        <r>
          <rPr>
            <b/>
            <sz val="8"/>
            <color indexed="81"/>
            <rFont val="Tahoma"/>
            <family val="2"/>
          </rPr>
          <t>Kommentar:</t>
        </r>
        <r>
          <rPr>
            <sz val="8"/>
            <color indexed="81"/>
            <rFont val="Tahoma"/>
            <family val="2"/>
          </rPr>
          <t xml:space="preserve">
</t>
        </r>
        <r>
          <rPr>
            <sz val="10"/>
            <color indexed="12"/>
            <rFont val="Tahoma"/>
            <family val="2"/>
          </rPr>
          <t>Summe muss immer 100 ergeben</t>
        </r>
      </text>
    </comment>
    <comment ref="J20" authorId="0" shapeId="0" xr:uid="{00000000-0006-0000-0400-000008000000}">
      <text>
        <r>
          <rPr>
            <b/>
            <sz val="8"/>
            <color indexed="81"/>
            <rFont val="Tahoma"/>
            <family val="2"/>
          </rPr>
          <t>Kommentar:</t>
        </r>
        <r>
          <rPr>
            <sz val="8"/>
            <color indexed="81"/>
            <rFont val="Tahoma"/>
            <family val="2"/>
          </rPr>
          <t xml:space="preserve">
</t>
        </r>
        <r>
          <rPr>
            <sz val="10"/>
            <color indexed="12"/>
            <rFont val="Tahoma"/>
            <family val="2"/>
          </rPr>
          <t xml:space="preserve">Nach LAWA ist ein Vergleich von Varianten nur über die längste vorhandene Nutzungsdauer zulässig 
(oder das kleinste gemeinsame Vielfache der unterschiedlichen Nutzungsdauern)
Da Kanäle mit 50 Jahren eine längerlebige Alternative als z.B. Kleinkläranlagen darstellen, 
ist die Betrachtung über nur 25 Jahre nicht nutzengleich und nach den LAWA-Kriterien nicht zulässig. 
In den Jahren 26 bis 50 wird dann eine Leistung vorgehalten, die kostenseitig nicht berücksichtigt wird.
Die Angabe des PKBW über 25 Jahre ist daher nur als Trend innerhalb des Verlaufs über 50 Jahre zu verstehen.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soldner</author>
    <author>Soldner, Jedele und Partner</author>
    <author>Mario Soldner</author>
  </authors>
  <commentList>
    <comment ref="R4" authorId="0" shapeId="0" xr:uid="{00000000-0006-0000-0500-000001000000}">
      <text>
        <r>
          <rPr>
            <b/>
            <sz val="8"/>
            <color indexed="81"/>
            <rFont val="Tahoma"/>
            <family val="2"/>
          </rPr>
          <t>Kommentar:</t>
        </r>
        <r>
          <rPr>
            <sz val="8"/>
            <color indexed="81"/>
            <rFont val="Tahoma"/>
            <family val="2"/>
          </rPr>
          <t xml:space="preserve">
</t>
        </r>
        <r>
          <rPr>
            <b/>
            <sz val="12"/>
            <color indexed="12"/>
            <rFont val="Tahoma"/>
            <family val="2"/>
          </rPr>
          <t>Betriebskosten enthalten
beim Kanal die Wartung / Inspektion
bei Pumpwerken die Wartung und Energiekosten
bei den Kläranlagen die Personal-, Energie-,
Schlammentsorgungs- und Wartungskosten</t>
        </r>
      </text>
    </comment>
    <comment ref="R8" authorId="1" shapeId="0" xr:uid="{E6D6D370-9768-4728-8A26-1B7C5FCBF9E2}">
      <text>
        <r>
          <rPr>
            <b/>
            <sz val="9"/>
            <color indexed="81"/>
            <rFont val="Tahoma"/>
            <family val="2"/>
          </rPr>
          <t>Kommentar:</t>
        </r>
        <r>
          <rPr>
            <sz val="9"/>
            <color indexed="81"/>
            <rFont val="Tahoma"/>
            <family val="2"/>
          </rPr>
          <t xml:space="preserve">
Wartung und Energie</t>
        </r>
      </text>
    </comment>
    <comment ref="R9" authorId="1" shapeId="0" xr:uid="{EEF1EE99-7E8B-47E7-914D-DAAB40718F43}">
      <text>
        <r>
          <rPr>
            <b/>
            <sz val="9"/>
            <color indexed="81"/>
            <rFont val="Tahoma"/>
            <family val="2"/>
          </rPr>
          <t>Kommentar:</t>
        </r>
        <r>
          <rPr>
            <sz val="9"/>
            <color indexed="81"/>
            <rFont val="Tahoma"/>
            <family val="2"/>
          </rPr>
          <t xml:space="preserve">
beim Schacht nur Wartung, 
Energie bei der Vakuumstation</t>
        </r>
      </text>
    </comment>
    <comment ref="AE46" authorId="2" shapeId="0" xr:uid="{00000000-0006-0000-0500-000004000000}">
      <text>
        <r>
          <rPr>
            <b/>
            <sz val="9"/>
            <color indexed="81"/>
            <rFont val="Segoe UI"/>
            <family val="2"/>
          </rPr>
          <t>Mario Soldner:</t>
        </r>
        <r>
          <rPr>
            <sz val="9"/>
            <color indexed="81"/>
            <rFont val="Segoe UI"/>
            <family val="2"/>
          </rPr>
          <t xml:space="preserve">
hier nur Summe 15 J BK KKA</t>
        </r>
      </text>
    </comment>
    <comment ref="D62" authorId="0" shapeId="0" xr:uid="{00000000-0006-0000-0500-000005000000}">
      <text>
        <r>
          <rPr>
            <b/>
            <sz val="10"/>
            <color indexed="81"/>
            <rFont val="Tahoma"/>
            <family val="2"/>
          </rPr>
          <t>Kommentar:</t>
        </r>
        <r>
          <rPr>
            <sz val="10"/>
            <color indexed="81"/>
            <rFont val="Tahoma"/>
            <family val="2"/>
          </rPr>
          <t xml:space="preserve">
</t>
        </r>
        <r>
          <rPr>
            <b/>
            <sz val="12"/>
            <color indexed="12"/>
            <rFont val="Tahoma"/>
            <family val="2"/>
          </rPr>
          <t>Standardeinstellung: 3% (= Empfehlung LAWA als langfristiger Zinssatz für  Kommunaldarlehen),
Realzins entspricht vereinfacht Nominalzins abzüglich Inflation,
möglicher Bereich 2…6%
niedrige Zinsen begünstigen hohe Investitionen</t>
        </r>
      </text>
    </comment>
    <comment ref="D63" authorId="0" shapeId="0" xr:uid="{00000000-0006-0000-0500-000006000000}">
      <text>
        <r>
          <rPr>
            <b/>
            <sz val="8"/>
            <color indexed="81"/>
            <rFont val="Tahoma"/>
            <family val="2"/>
          </rPr>
          <t>Kommentar:</t>
        </r>
        <r>
          <rPr>
            <sz val="8"/>
            <color indexed="81"/>
            <rFont val="Tahoma"/>
            <family val="2"/>
          </rPr>
          <t xml:space="preserve">
</t>
        </r>
        <r>
          <rPr>
            <b/>
            <sz val="12"/>
            <color indexed="12"/>
            <rFont val="Tahoma"/>
            <family val="2"/>
          </rPr>
          <t>Standardeinstellung 2%</t>
        </r>
      </text>
    </comment>
    <comment ref="J64" authorId="0" shapeId="0" xr:uid="{00000000-0006-0000-0500-000007000000}">
      <text>
        <r>
          <rPr>
            <b/>
            <sz val="8"/>
            <color indexed="81"/>
            <rFont val="Tahoma"/>
            <family val="2"/>
          </rPr>
          <t>Kommentar:</t>
        </r>
        <r>
          <rPr>
            <sz val="8"/>
            <color indexed="81"/>
            <rFont val="Tahoma"/>
            <family val="2"/>
          </rPr>
          <t xml:space="preserve">
</t>
        </r>
        <r>
          <rPr>
            <b/>
            <sz val="12"/>
            <color indexed="12"/>
            <rFont val="Tahoma"/>
            <family val="2"/>
          </rPr>
          <t>(Re-)Investitionen in der Zukunft müssen abgezinst (diskontiert) werden, 
um Vergleichbarkeit mit dem heutigen Geldwert herzustellen.
Dies sind die finanzmathematischen Faktoren in Abhängigkeit 
von Betrachtungszeitraum und Realzins, 
bei den Betriebskosten zusätzlich von der Preissteigerungsrate. 
Weitere Erläuterungen im Registerblatt "Erläuterungen" im pdf-Dokument "Vortrag"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soldner</author>
    <author>Soldner, Jedele und Partner</author>
    <author>Mario Soldner</author>
  </authors>
  <commentList>
    <comment ref="R4" authorId="0" shapeId="0" xr:uid="{00000000-0006-0000-0600-000001000000}">
      <text>
        <r>
          <rPr>
            <b/>
            <sz val="8"/>
            <color indexed="81"/>
            <rFont val="Tahoma"/>
            <family val="2"/>
          </rPr>
          <t>Kommentar:</t>
        </r>
        <r>
          <rPr>
            <sz val="8"/>
            <color indexed="81"/>
            <rFont val="Tahoma"/>
            <family val="2"/>
          </rPr>
          <t xml:space="preserve">
</t>
        </r>
        <r>
          <rPr>
            <b/>
            <sz val="12"/>
            <color indexed="12"/>
            <rFont val="Tahoma"/>
            <family val="2"/>
          </rPr>
          <t>Betriebskosten enthalten
beim Kanal die Wartung / Inspektion
bei Pumpwerken die Wartung und Energiekosten
bei den Kläranlagen die Personal-, Energie-,
Schlammentsorgungs- und Wartungskosten</t>
        </r>
      </text>
    </comment>
    <comment ref="R8" authorId="1" shapeId="0" xr:uid="{00000000-0006-0000-0600-000002000000}">
      <text>
        <r>
          <rPr>
            <b/>
            <sz val="9"/>
            <color indexed="81"/>
            <rFont val="Tahoma"/>
            <family val="2"/>
          </rPr>
          <t>Kommentar:</t>
        </r>
        <r>
          <rPr>
            <sz val="9"/>
            <color indexed="81"/>
            <rFont val="Tahoma"/>
            <family val="2"/>
          </rPr>
          <t xml:space="preserve">
Wartung und Energie</t>
        </r>
      </text>
    </comment>
    <comment ref="R9" authorId="1" shapeId="0" xr:uid="{00000000-0006-0000-0600-000003000000}">
      <text>
        <r>
          <rPr>
            <b/>
            <sz val="9"/>
            <color indexed="81"/>
            <rFont val="Tahoma"/>
            <family val="2"/>
          </rPr>
          <t>Kommentar:</t>
        </r>
        <r>
          <rPr>
            <sz val="9"/>
            <color indexed="81"/>
            <rFont val="Tahoma"/>
            <family val="2"/>
          </rPr>
          <t xml:space="preserve">
beim Schacht nur Wartung, 
Energie bei der Vakuumstation</t>
        </r>
      </text>
    </comment>
    <comment ref="AE46" authorId="2" shapeId="0" xr:uid="{00000000-0006-0000-0600-000004000000}">
      <text>
        <r>
          <rPr>
            <b/>
            <sz val="9"/>
            <color indexed="81"/>
            <rFont val="Segoe UI"/>
            <family val="2"/>
          </rPr>
          <t>Mario Soldner:</t>
        </r>
        <r>
          <rPr>
            <sz val="9"/>
            <color indexed="81"/>
            <rFont val="Segoe UI"/>
            <family val="2"/>
          </rPr>
          <t xml:space="preserve">
hier nur Summe 15 J BK KKA</t>
        </r>
      </text>
    </comment>
    <comment ref="D62" authorId="0" shapeId="0" xr:uid="{00000000-0006-0000-0600-000005000000}">
      <text>
        <r>
          <rPr>
            <b/>
            <sz val="10"/>
            <color indexed="81"/>
            <rFont val="Tahoma"/>
            <family val="2"/>
          </rPr>
          <t>Kommentar:</t>
        </r>
        <r>
          <rPr>
            <sz val="10"/>
            <color indexed="81"/>
            <rFont val="Tahoma"/>
            <family val="2"/>
          </rPr>
          <t xml:space="preserve">
</t>
        </r>
        <r>
          <rPr>
            <b/>
            <sz val="12"/>
            <color indexed="12"/>
            <rFont val="Tahoma"/>
            <family val="2"/>
          </rPr>
          <t>Standardeinstellung: 3% (= Empfehlung LAWA als langfristiger Zinssatz für  Kommunaldarlehen),
Realzins entspricht vereinfacht Nominalzins abzüglich Inflation,
möglicher Bereich 2…6%
niedrige Zinsen begünstigen hohe Investitionen</t>
        </r>
      </text>
    </comment>
    <comment ref="D63" authorId="0" shapeId="0" xr:uid="{00000000-0006-0000-0600-000006000000}">
      <text>
        <r>
          <rPr>
            <b/>
            <sz val="8"/>
            <color indexed="81"/>
            <rFont val="Tahoma"/>
            <family val="2"/>
          </rPr>
          <t>Kommentar:</t>
        </r>
        <r>
          <rPr>
            <sz val="8"/>
            <color indexed="81"/>
            <rFont val="Tahoma"/>
            <family val="2"/>
          </rPr>
          <t xml:space="preserve">
</t>
        </r>
        <r>
          <rPr>
            <b/>
            <sz val="12"/>
            <color indexed="12"/>
            <rFont val="Tahoma"/>
            <family val="2"/>
          </rPr>
          <t>Standardeinstellung 2%</t>
        </r>
      </text>
    </comment>
    <comment ref="J64" authorId="0" shapeId="0" xr:uid="{00000000-0006-0000-0600-000007000000}">
      <text>
        <r>
          <rPr>
            <b/>
            <sz val="8"/>
            <color indexed="81"/>
            <rFont val="Tahoma"/>
            <family val="2"/>
          </rPr>
          <t>Kommentar:</t>
        </r>
        <r>
          <rPr>
            <sz val="8"/>
            <color indexed="81"/>
            <rFont val="Tahoma"/>
            <family val="2"/>
          </rPr>
          <t xml:space="preserve">
</t>
        </r>
        <r>
          <rPr>
            <b/>
            <sz val="12"/>
            <color indexed="12"/>
            <rFont val="Tahoma"/>
            <family val="2"/>
          </rPr>
          <t>(Re-)Investitionen in der Zukunft müssen abgezinst (diskontiert) werden, 
um Vergleichbarkeit mit dem heutigen Geldwert herzustellen.
Dies sind die finanzmathematischen Faktoren in Abhängigkeit 
von Betrachtungszeitraum und Realzins, 
bei den Betriebskosten zusätzlich von der Preissteigerungsrate. 
Weitere Erläuterungen im Reisterblatt "Erläuterungen" im pdf-Dokument "Vortrag"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soldner</author>
    <author>Soldner, Jedele und Partner</author>
    <author>Mario Soldner</author>
  </authors>
  <commentList>
    <comment ref="R4" authorId="0" shapeId="0" xr:uid="{00000000-0006-0000-0700-000001000000}">
      <text>
        <r>
          <rPr>
            <b/>
            <sz val="8"/>
            <color indexed="81"/>
            <rFont val="Tahoma"/>
            <family val="2"/>
          </rPr>
          <t>Kommentar:</t>
        </r>
        <r>
          <rPr>
            <sz val="8"/>
            <color indexed="81"/>
            <rFont val="Tahoma"/>
            <family val="2"/>
          </rPr>
          <t xml:space="preserve">
</t>
        </r>
        <r>
          <rPr>
            <b/>
            <sz val="12"/>
            <color indexed="12"/>
            <rFont val="Tahoma"/>
            <family val="2"/>
          </rPr>
          <t>Betriebskosten enthalten
beim Kanal die Wartung / Inspektion
bei Pumpwerken die Wartung und Energiekosten
bei den Kläranlagen die Personal-, Energie-,
Schlammentsorgungs- und Wartungskosten</t>
        </r>
      </text>
    </comment>
    <comment ref="R8" authorId="1" shapeId="0" xr:uid="{7B56E347-FCE9-4A17-95EB-A36830B6A91A}">
      <text>
        <r>
          <rPr>
            <b/>
            <sz val="9"/>
            <color indexed="81"/>
            <rFont val="Tahoma"/>
            <family val="2"/>
          </rPr>
          <t>Kommentar:</t>
        </r>
        <r>
          <rPr>
            <sz val="9"/>
            <color indexed="81"/>
            <rFont val="Tahoma"/>
            <family val="2"/>
          </rPr>
          <t xml:space="preserve">
Wartung und Energie</t>
        </r>
      </text>
    </comment>
    <comment ref="R9" authorId="1" shapeId="0" xr:uid="{C5FCB2F6-D60E-4D5A-9BE3-9E5150A5839C}">
      <text>
        <r>
          <rPr>
            <b/>
            <sz val="9"/>
            <color indexed="81"/>
            <rFont val="Tahoma"/>
            <family val="2"/>
          </rPr>
          <t>Kommentar:</t>
        </r>
        <r>
          <rPr>
            <sz val="9"/>
            <color indexed="81"/>
            <rFont val="Tahoma"/>
            <family val="2"/>
          </rPr>
          <t xml:space="preserve">
beim Schacht nur Wartung, 
Energie bei der Vakuumstation</t>
        </r>
      </text>
    </comment>
    <comment ref="AE46" authorId="2" shapeId="0" xr:uid="{00000000-0006-0000-0700-000004000000}">
      <text>
        <r>
          <rPr>
            <b/>
            <sz val="9"/>
            <color indexed="81"/>
            <rFont val="Segoe UI"/>
            <family val="2"/>
          </rPr>
          <t>Mario Soldner:</t>
        </r>
        <r>
          <rPr>
            <sz val="9"/>
            <color indexed="81"/>
            <rFont val="Segoe UI"/>
            <family val="2"/>
          </rPr>
          <t xml:space="preserve">
hier nur Summe 15 J BK KKA</t>
        </r>
      </text>
    </comment>
    <comment ref="D62" authorId="0" shapeId="0" xr:uid="{00000000-0006-0000-0700-000005000000}">
      <text>
        <r>
          <rPr>
            <b/>
            <sz val="10"/>
            <color indexed="81"/>
            <rFont val="Tahoma"/>
            <family val="2"/>
          </rPr>
          <t>Kommentar:</t>
        </r>
        <r>
          <rPr>
            <sz val="10"/>
            <color indexed="81"/>
            <rFont val="Tahoma"/>
            <family val="2"/>
          </rPr>
          <t xml:space="preserve">
</t>
        </r>
        <r>
          <rPr>
            <b/>
            <sz val="12"/>
            <color indexed="12"/>
            <rFont val="Tahoma"/>
            <family val="2"/>
          </rPr>
          <t>Standardeinstellung: 3% (= Empfehlung LAWA als langfristiger Zinssatz für  Kommunaldarlehen),
Realzins entspricht vereinfacht Nominalzins abzüglich Inflation,
möglicher Bereich 2…6%
niedrige Zinsen begünstigen hohe Investitionen</t>
        </r>
      </text>
    </comment>
    <comment ref="D63" authorId="0" shapeId="0" xr:uid="{00000000-0006-0000-0700-000006000000}">
      <text>
        <r>
          <rPr>
            <b/>
            <sz val="8"/>
            <color indexed="81"/>
            <rFont val="Tahoma"/>
            <family val="2"/>
          </rPr>
          <t>Kommentar:</t>
        </r>
        <r>
          <rPr>
            <sz val="8"/>
            <color indexed="81"/>
            <rFont val="Tahoma"/>
            <family val="2"/>
          </rPr>
          <t xml:space="preserve">
</t>
        </r>
        <r>
          <rPr>
            <b/>
            <sz val="12"/>
            <color indexed="12"/>
            <rFont val="Tahoma"/>
            <family val="2"/>
          </rPr>
          <t>Standardeinstellung 2%</t>
        </r>
      </text>
    </comment>
    <comment ref="J64" authorId="0" shapeId="0" xr:uid="{00000000-0006-0000-0700-000007000000}">
      <text>
        <r>
          <rPr>
            <b/>
            <sz val="8"/>
            <color indexed="81"/>
            <rFont val="Tahoma"/>
            <family val="2"/>
          </rPr>
          <t>Kommentar:</t>
        </r>
        <r>
          <rPr>
            <sz val="8"/>
            <color indexed="81"/>
            <rFont val="Tahoma"/>
            <family val="2"/>
          </rPr>
          <t xml:space="preserve">
</t>
        </r>
        <r>
          <rPr>
            <b/>
            <sz val="12"/>
            <color indexed="12"/>
            <rFont val="Tahoma"/>
            <family val="2"/>
          </rPr>
          <t>(Re-)Investitionen in der Zukunft müssen abgezinst (diskontiert) werden, 
um Vergleichbarkeit mit dem heutigen Geldwert herzustellen.
Dies sind die finanzmathematischen Faktoren in Abhängigkeit 
von Betrachtungszeitraum und Realzins, 
bei den Betriebskosten zusätzlich von der Preissteigerungsrate. 
Weitere Erläuterungen im Reisterblatt "Erläuterungen" im pdf-Dokument "Vortrag"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soldner</author>
    <author>Soldner, Jedele und Partner</author>
    <author>Mario Soldner</author>
  </authors>
  <commentList>
    <comment ref="R4" authorId="0" shapeId="0" xr:uid="{00000000-0006-0000-0800-000001000000}">
      <text>
        <r>
          <rPr>
            <b/>
            <sz val="8"/>
            <color indexed="81"/>
            <rFont val="Tahoma"/>
            <family val="2"/>
          </rPr>
          <t>Kommentar:</t>
        </r>
        <r>
          <rPr>
            <sz val="8"/>
            <color indexed="81"/>
            <rFont val="Tahoma"/>
            <family val="2"/>
          </rPr>
          <t xml:space="preserve">
</t>
        </r>
        <r>
          <rPr>
            <b/>
            <sz val="12"/>
            <color indexed="12"/>
            <rFont val="Tahoma"/>
            <family val="2"/>
          </rPr>
          <t>Betriebskosten enthalten
beim Kanal die Wartung / Inspektion
bei Pumpwerken die Wartung und Energiekosten
bei den Kläranlagen die Personal-, Energie-,
Schlammentsorgungs- und Wartungskosten</t>
        </r>
      </text>
    </comment>
    <comment ref="R8" authorId="1" shapeId="0" xr:uid="{44C51FEB-53BC-4765-9690-B0722702BE72}">
      <text>
        <r>
          <rPr>
            <b/>
            <sz val="9"/>
            <color indexed="81"/>
            <rFont val="Tahoma"/>
            <family val="2"/>
          </rPr>
          <t>Kommentar:</t>
        </r>
        <r>
          <rPr>
            <sz val="9"/>
            <color indexed="81"/>
            <rFont val="Tahoma"/>
            <family val="2"/>
          </rPr>
          <t xml:space="preserve">
Wartung und Energie</t>
        </r>
      </text>
    </comment>
    <comment ref="R9" authorId="1" shapeId="0" xr:uid="{56A8597C-3E5E-42C9-8B92-98AE7A4CA5E7}">
      <text>
        <r>
          <rPr>
            <b/>
            <sz val="9"/>
            <color indexed="81"/>
            <rFont val="Tahoma"/>
            <family val="2"/>
          </rPr>
          <t>Kommentar:</t>
        </r>
        <r>
          <rPr>
            <sz val="9"/>
            <color indexed="81"/>
            <rFont val="Tahoma"/>
            <family val="2"/>
          </rPr>
          <t xml:space="preserve">
beim Schacht nur Wartung, 
Energie bei der Vakuumstation</t>
        </r>
      </text>
    </comment>
    <comment ref="AE46" authorId="2" shapeId="0" xr:uid="{00000000-0006-0000-0800-000004000000}">
      <text>
        <r>
          <rPr>
            <b/>
            <sz val="9"/>
            <color indexed="81"/>
            <rFont val="Segoe UI"/>
            <family val="2"/>
          </rPr>
          <t>Mario Soldner:</t>
        </r>
        <r>
          <rPr>
            <sz val="9"/>
            <color indexed="81"/>
            <rFont val="Segoe UI"/>
            <family val="2"/>
          </rPr>
          <t xml:space="preserve">
hier nur Summe 15 J BK KKA</t>
        </r>
      </text>
    </comment>
    <comment ref="D62" authorId="0" shapeId="0" xr:uid="{00000000-0006-0000-0800-000005000000}">
      <text>
        <r>
          <rPr>
            <b/>
            <sz val="10"/>
            <color indexed="81"/>
            <rFont val="Tahoma"/>
            <family val="2"/>
          </rPr>
          <t>Kommentar:</t>
        </r>
        <r>
          <rPr>
            <sz val="10"/>
            <color indexed="81"/>
            <rFont val="Tahoma"/>
            <family val="2"/>
          </rPr>
          <t xml:space="preserve">
</t>
        </r>
        <r>
          <rPr>
            <b/>
            <sz val="12"/>
            <color indexed="12"/>
            <rFont val="Tahoma"/>
            <family val="2"/>
          </rPr>
          <t>Standardeinstellung: 3% (= Empfehlung LAWA als langfristiger Zinssatz für  Kommunaldarlehen),
Realzins entspricht vereinfacht Nominalzins abzüglich Inflation,
möglicher Bereich 2…6%
niedrige Zinsen begünstigen hohe Investitionen</t>
        </r>
      </text>
    </comment>
    <comment ref="D63" authorId="0" shapeId="0" xr:uid="{00000000-0006-0000-0800-000006000000}">
      <text>
        <r>
          <rPr>
            <b/>
            <sz val="8"/>
            <color indexed="81"/>
            <rFont val="Tahoma"/>
            <family val="2"/>
          </rPr>
          <t>Kommentar:</t>
        </r>
        <r>
          <rPr>
            <sz val="8"/>
            <color indexed="81"/>
            <rFont val="Tahoma"/>
            <family val="2"/>
          </rPr>
          <t xml:space="preserve">
</t>
        </r>
        <r>
          <rPr>
            <b/>
            <sz val="12"/>
            <color indexed="12"/>
            <rFont val="Tahoma"/>
            <family val="2"/>
          </rPr>
          <t>Standardeinstellung 2%</t>
        </r>
      </text>
    </comment>
    <comment ref="J64" authorId="0" shapeId="0" xr:uid="{00000000-0006-0000-0800-000007000000}">
      <text>
        <r>
          <rPr>
            <b/>
            <sz val="8"/>
            <color indexed="81"/>
            <rFont val="Tahoma"/>
            <family val="2"/>
          </rPr>
          <t>Kommentar:</t>
        </r>
        <r>
          <rPr>
            <sz val="8"/>
            <color indexed="81"/>
            <rFont val="Tahoma"/>
            <family val="2"/>
          </rPr>
          <t xml:space="preserve">
</t>
        </r>
        <r>
          <rPr>
            <b/>
            <sz val="12"/>
            <color indexed="12"/>
            <rFont val="Tahoma"/>
            <family val="2"/>
          </rPr>
          <t>(Re-)Investitionen in der Zukunft müssen abgezinst (diskontiert) werden, 
um Vergleichbarkeit mit dem heutigen Geldwert herzustellen.
Dies sind die finanzmathematischen Faktoren in Abhängigkeit 
von Betrachtungszeitraum und Realzins, 
bei den Betriebskosten zusätzlich von der Preissteigerungsrate. 
Weitere Erläuterungen im Reisterblatt "Erläuterungen" im pdf-Dokument "Vortrag"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soldner</author>
    <author>Soldner, Jedele und Partner</author>
    <author>Mario Soldner</author>
  </authors>
  <commentList>
    <comment ref="R4" authorId="0" shapeId="0" xr:uid="{00000000-0006-0000-0900-000001000000}">
      <text>
        <r>
          <rPr>
            <b/>
            <sz val="8"/>
            <color indexed="81"/>
            <rFont val="Tahoma"/>
            <family val="2"/>
          </rPr>
          <t>Kommentar:</t>
        </r>
        <r>
          <rPr>
            <sz val="8"/>
            <color indexed="81"/>
            <rFont val="Tahoma"/>
            <family val="2"/>
          </rPr>
          <t xml:space="preserve">
</t>
        </r>
        <r>
          <rPr>
            <b/>
            <sz val="12"/>
            <color indexed="12"/>
            <rFont val="Tahoma"/>
            <family val="2"/>
          </rPr>
          <t>Betriebskosten enthalten
beim Kanal die Wartung / Inspektion
bei Pumpwerken die Wartung und Energiekosten
bei den Kläranlagen die Personal-, Energie-,
Schlammentsorgungs- und Wartungskosten</t>
        </r>
      </text>
    </comment>
    <comment ref="R8" authorId="1" shapeId="0" xr:uid="{95F1E31F-7CF2-4DCD-A173-BDB0A79E042F}">
      <text>
        <r>
          <rPr>
            <b/>
            <sz val="9"/>
            <color indexed="81"/>
            <rFont val="Tahoma"/>
            <family val="2"/>
          </rPr>
          <t>Kommentar:</t>
        </r>
        <r>
          <rPr>
            <sz val="9"/>
            <color indexed="81"/>
            <rFont val="Tahoma"/>
            <family val="2"/>
          </rPr>
          <t xml:space="preserve">
Wartung und Energie</t>
        </r>
      </text>
    </comment>
    <comment ref="R9" authorId="1" shapeId="0" xr:uid="{9116B12D-D8C0-48DB-A1EA-D944A93A4C3C}">
      <text>
        <r>
          <rPr>
            <b/>
            <sz val="9"/>
            <color indexed="81"/>
            <rFont val="Tahoma"/>
            <family val="2"/>
          </rPr>
          <t>Kommentar:</t>
        </r>
        <r>
          <rPr>
            <sz val="9"/>
            <color indexed="81"/>
            <rFont val="Tahoma"/>
            <family val="2"/>
          </rPr>
          <t xml:space="preserve">
beim Schacht nur Wartung, 
Energie bei der Vakuumstation</t>
        </r>
      </text>
    </comment>
    <comment ref="AE46" authorId="2" shapeId="0" xr:uid="{00000000-0006-0000-0900-000004000000}">
      <text>
        <r>
          <rPr>
            <b/>
            <sz val="9"/>
            <color indexed="81"/>
            <rFont val="Segoe UI"/>
            <family val="2"/>
          </rPr>
          <t>Mario Soldner:</t>
        </r>
        <r>
          <rPr>
            <sz val="9"/>
            <color indexed="81"/>
            <rFont val="Segoe UI"/>
            <family val="2"/>
          </rPr>
          <t xml:space="preserve">
hier nur Summe 15 J BK KKA</t>
        </r>
      </text>
    </comment>
    <comment ref="D62" authorId="0" shapeId="0" xr:uid="{00000000-0006-0000-0900-000005000000}">
      <text>
        <r>
          <rPr>
            <b/>
            <sz val="10"/>
            <color indexed="81"/>
            <rFont val="Tahoma"/>
            <family val="2"/>
          </rPr>
          <t>Kommentar:</t>
        </r>
        <r>
          <rPr>
            <sz val="10"/>
            <color indexed="81"/>
            <rFont val="Tahoma"/>
            <family val="2"/>
          </rPr>
          <t xml:space="preserve">
</t>
        </r>
        <r>
          <rPr>
            <b/>
            <sz val="12"/>
            <color indexed="12"/>
            <rFont val="Tahoma"/>
            <family val="2"/>
          </rPr>
          <t>Standardeinstellung: 3% (= Empfehlung LAWA als langfristiger Zinssatz für  Kommunaldarlehen),
Realzins entspricht vereinfacht Nominalzins abzüglich Inflation,
möglicher Bereich 2…6%
niedrige Zinsen begünstigen hohe Investitionen</t>
        </r>
      </text>
    </comment>
    <comment ref="D63" authorId="0" shapeId="0" xr:uid="{00000000-0006-0000-0900-000006000000}">
      <text>
        <r>
          <rPr>
            <b/>
            <sz val="8"/>
            <color indexed="81"/>
            <rFont val="Tahoma"/>
            <family val="2"/>
          </rPr>
          <t>Kommentar:</t>
        </r>
        <r>
          <rPr>
            <sz val="8"/>
            <color indexed="81"/>
            <rFont val="Tahoma"/>
            <family val="2"/>
          </rPr>
          <t xml:space="preserve">
</t>
        </r>
        <r>
          <rPr>
            <b/>
            <sz val="12"/>
            <color indexed="12"/>
            <rFont val="Tahoma"/>
            <family val="2"/>
          </rPr>
          <t>Standardeinstellung 2%</t>
        </r>
      </text>
    </comment>
    <comment ref="J64" authorId="0" shapeId="0" xr:uid="{00000000-0006-0000-0900-000007000000}">
      <text>
        <r>
          <rPr>
            <b/>
            <sz val="8"/>
            <color indexed="81"/>
            <rFont val="Tahoma"/>
            <family val="2"/>
          </rPr>
          <t>Kommentar:</t>
        </r>
        <r>
          <rPr>
            <sz val="8"/>
            <color indexed="81"/>
            <rFont val="Tahoma"/>
            <family val="2"/>
          </rPr>
          <t xml:space="preserve">
</t>
        </r>
        <r>
          <rPr>
            <b/>
            <sz val="12"/>
            <color indexed="12"/>
            <rFont val="Tahoma"/>
            <family val="2"/>
          </rPr>
          <t>(Re-)Investitionen in der Zukunft müssen abgezinst (diskontiert) werden, 
um Vergleichbarkeit mit dem heutigen Geldwert herzustellen.
Dies sind die finanzmathematischen Faktoren in Abhängigkeit 
von Betrachtungszeitraum und Realzins, 
bei den Betriebskosten zusätzlich von der Preissteigerungsrate. 
Weitere Erläuterungen im Reisterblatt "Erläuterungen" im pdf-Dokument "Vortrag"</t>
        </r>
      </text>
    </comment>
  </commentList>
</comments>
</file>

<file path=xl/sharedStrings.xml><?xml version="1.0" encoding="utf-8"?>
<sst xmlns="http://schemas.openxmlformats.org/spreadsheetml/2006/main" count="2628" uniqueCount="294">
  <si>
    <t>1.</t>
  </si>
  <si>
    <t>PKBW</t>
  </si>
  <si>
    <t xml:space="preserve"> </t>
  </si>
  <si>
    <t xml:space="preserve">  </t>
  </si>
  <si>
    <t>2.</t>
  </si>
  <si>
    <t>Ermittlung des Nutzwertes (NW)</t>
  </si>
  <si>
    <t>Teilnutzen / Zielerfüllung (1-6)</t>
  </si>
  <si>
    <t>Reinigungsleistung</t>
  </si>
  <si>
    <t>Kontrolle / Steuerung</t>
  </si>
  <si>
    <t>3.</t>
  </si>
  <si>
    <t>%</t>
  </si>
  <si>
    <t>Sicherheit / Stabilität</t>
  </si>
  <si>
    <t>Wasserführung / Hydrologie</t>
  </si>
  <si>
    <t>Investitionskosten</t>
  </si>
  <si>
    <t>Betriebskosten</t>
  </si>
  <si>
    <t>Menge</t>
  </si>
  <si>
    <t>Einheit</t>
  </si>
  <si>
    <t>EUR/Einheit</t>
  </si>
  <si>
    <t>Kosten EUR</t>
  </si>
  <si>
    <t>Bau</t>
  </si>
  <si>
    <t>Ausrüstung</t>
  </si>
  <si>
    <t>Kosten EUR/a</t>
  </si>
  <si>
    <t>l/s</t>
  </si>
  <si>
    <t>DN</t>
  </si>
  <si>
    <t>m</t>
  </si>
  <si>
    <t>Stk</t>
  </si>
  <si>
    <t>Zwischensumme</t>
  </si>
  <si>
    <t>Energie</t>
  </si>
  <si>
    <t>Kläranlagen</t>
  </si>
  <si>
    <t>EW</t>
  </si>
  <si>
    <t>Gesamtsumme</t>
  </si>
  <si>
    <t>PKBW-Ermittlung</t>
  </si>
  <si>
    <t>Realzinssatz</t>
  </si>
  <si>
    <t>Preissteigerungsrate für laufende Kosten</t>
  </si>
  <si>
    <t>Faktor</t>
  </si>
  <si>
    <t>Barwert EUR</t>
  </si>
  <si>
    <t>Investitionskosten heute</t>
  </si>
  <si>
    <t>Reinvestitionskosten nach</t>
  </si>
  <si>
    <t>a</t>
  </si>
  <si>
    <t xml:space="preserve">Betriebskosten                                       1 - </t>
  </si>
  <si>
    <t>Projektkostenbarwert nach</t>
  </si>
  <si>
    <r>
      <t>EUR/Einheit</t>
    </r>
    <r>
      <rPr>
        <b/>
        <vertAlign val="superscript"/>
        <sz val="7.5"/>
        <rFont val="Arial"/>
        <family val="2"/>
      </rPr>
      <t>.</t>
    </r>
    <r>
      <rPr>
        <sz val="10"/>
        <rFont val="Arial"/>
        <family val="2"/>
      </rPr>
      <t>a</t>
    </r>
  </si>
  <si>
    <t>Jahre</t>
  </si>
  <si>
    <t>Invest</t>
  </si>
  <si>
    <t>Betrieb</t>
  </si>
  <si>
    <t>brutto</t>
  </si>
  <si>
    <t>Zins i</t>
  </si>
  <si>
    <t>Summe</t>
  </si>
  <si>
    <t>n</t>
  </si>
  <si>
    <t>EUR</t>
  </si>
  <si>
    <t>EUR/a</t>
  </si>
  <si>
    <t>Steig r</t>
  </si>
  <si>
    <t>NWK</t>
  </si>
  <si>
    <t>NW = Summe Teilnutzwerte</t>
  </si>
  <si>
    <t>Hinweise</t>
  </si>
  <si>
    <t>Teilnutzwert (= Wichtung x Teilnutzen)</t>
  </si>
  <si>
    <t>Straße</t>
  </si>
  <si>
    <t>Straße ländlich</t>
  </si>
  <si>
    <t>Gelände</t>
  </si>
  <si>
    <t>Freispiegel</t>
  </si>
  <si>
    <t>Druckleitung</t>
  </si>
  <si>
    <t>Auswahl</t>
  </si>
  <si>
    <t>Tiefe</t>
  </si>
  <si>
    <t>Kanal</t>
  </si>
  <si>
    <t>2,5m</t>
  </si>
  <si>
    <t>FreispiegelStraße4,5m</t>
  </si>
  <si>
    <t>FreispiegelGelände4,5m</t>
  </si>
  <si>
    <t>FreispiegelStraße2,5m</t>
  </si>
  <si>
    <t>4,5m</t>
  </si>
  <si>
    <t>FreispiegelGelände2,5m</t>
  </si>
  <si>
    <t>DruckleitungStraße</t>
  </si>
  <si>
    <t>DruckleitungGelände</t>
  </si>
  <si>
    <t>DruckleitungStraße ländlich</t>
  </si>
  <si>
    <t>Hilfszellen - bitte nicht verändern!</t>
  </si>
  <si>
    <t>eigene KA</t>
  </si>
  <si>
    <t>Anschl. an externe KA</t>
  </si>
  <si>
    <t>Kriterien / Teilziele</t>
  </si>
  <si>
    <t>Aufteilung (für Reinvestition)</t>
  </si>
  <si>
    <t>Bei der Projektkostenbarwertermittlung sind standardmäßig nach jeweils 12,5 Jahren Reinvestitionen für technische Ausrüstungen und nach 25 Jahren für Bautechnik vorgesehen.</t>
  </si>
  <si>
    <t>Der Projektkostenbarwert ergibt sich so: PKBW = Investitionskosten heute + (Reinvestitionskosten x Faktor) + (Betriebskosten x Faktor)</t>
  </si>
  <si>
    <t>Wichtungsfaktor</t>
  </si>
  <si>
    <t>Nutzwert (NW)</t>
  </si>
  <si>
    <t>tatsächl.</t>
  </si>
  <si>
    <t>Über-</t>
  </si>
  <si>
    <t>nahme</t>
  </si>
  <si>
    <t>Richtwert</t>
  </si>
  <si>
    <t>Inv</t>
  </si>
  <si>
    <t>Betr</t>
  </si>
  <si>
    <t>Kostenberechnung</t>
  </si>
  <si>
    <t>Landschaftliche Einbindung</t>
  </si>
  <si>
    <t>Demografische Entwicklung</t>
  </si>
  <si>
    <t>PKBW 25 Jahre</t>
  </si>
  <si>
    <t>PKBW 50 Jahre</t>
  </si>
  <si>
    <t>Nutzwertkosten 25 J</t>
  </si>
  <si>
    <t>Nutzwertkosten 50 J</t>
  </si>
  <si>
    <t>Mit den in der Datei hinterlegten Berechnungen können von anderer Stelle vorliegende Kostenvergleiche relativ einfach überprüft werden.</t>
  </si>
  <si>
    <t>Darüber hinaus können Varianten mit Hilfe einer Nutzwertberechnung und Anwendung nicht monetärer Faktoren miteinander verglichen werden.</t>
  </si>
  <si>
    <t xml:space="preserve">Einige Zellen enthalten erläuternde Kommentare. </t>
  </si>
  <si>
    <t xml:space="preserve">Kosten werden standardmäßig über Kostenrichtwerte in Abhängigkeit der technischen Angaben berechnet.  </t>
  </si>
  <si>
    <t xml:space="preserve">Tatsächlich im Einzelfall vorhandene Kosten können auch eingegeben werden (z.B. aus Angeboten), um mit diesen die Projektkostenbarwerte zu berechnen. </t>
  </si>
  <si>
    <t>Die Tabellenansicht kann Bildschirm bezogen angepasst werden: Menü / Ansicht / Zoom oder mit Taste "Strg" und Mausrad.</t>
  </si>
  <si>
    <t>Erläuterungen</t>
  </si>
  <si>
    <t>Warum wird der Projektkostenbarwert (PKBW) ermittelt?</t>
  </si>
  <si>
    <t>Kosten abwassertechnischer Projekte fallen zu unterschiedlichen Zeitpunkten an (Investitionskosten, Reinvestitionskosten und Betriebskosten).</t>
  </si>
  <si>
    <t>Durch die Geldwertänderung (Inflation) sind sie nicht direkt miteinander vergleichbar und müssen deshalb auf einen Bezugszeitpunkt umgerechnet werden.</t>
  </si>
  <si>
    <t>Der PKBW gibt die Menge an Geld an, die zum Bezugszeitpunkt benötigt wird, um eine Maßnahme zu bauen und über die vorgegebene Laufzeit (i.d.R. 50 Jahre) zu betreiben.</t>
  </si>
  <si>
    <t>Alle künftigen Kosten werden so auf die Kaufkraft des Basisjahres angepasst.</t>
  </si>
  <si>
    <t>Nutzwerte</t>
  </si>
  <si>
    <t>Warum werden Nutzwerte berechnet?</t>
  </si>
  <si>
    <t>Ein Variantenvergleich kann neben den Kosten auch nichtmonetäre Faktoren berücksichtigen, wie z.B. die Reinigungsleistung.</t>
  </si>
  <si>
    <t>Nicht monetäre Faktoren können mit Hilfe einer Nutzwertberechnung zahlenmäßig erfasst werden.</t>
  </si>
  <si>
    <t>Voraussetzung dafür ist eine Punktevergabe für verschiedene Kriterien, deren Bedeutung gewichtet wird.</t>
  </si>
  <si>
    <t>Beispiel: Die Reinigungsleistung einer Grundstücksbezogenen Kleinkläranlage ist geringer zu bewerten als die einer größeren, regelmäßig überwachten Kläranlage.</t>
  </si>
  <si>
    <t>Nutzwertkosten</t>
  </si>
  <si>
    <t>Was sind Nutzwertkosten?</t>
  </si>
  <si>
    <t>In den Nutzwertkosten werden die Nutzwerte und die Kosten miteinander verknüpft.</t>
  </si>
  <si>
    <t>Dies erfolgt, indem die ermittelten Nutzwerte durch die ermittelten Projektkostenbarwerte dividiert werden.</t>
  </si>
  <si>
    <t xml:space="preserve">Die Variante mit den höchsten Nutzwertkosten ist demnach die zu favorisierende Lösung. </t>
  </si>
  <si>
    <t>Dateneingabe zur Kostenberechnung</t>
  </si>
  <si>
    <t>Länge</t>
  </si>
  <si>
    <t>Meter</t>
  </si>
  <si>
    <t>Durchmesser DN</t>
  </si>
  <si>
    <t>mm</t>
  </si>
  <si>
    <t>Freispiegel oder Druckleitung?</t>
  </si>
  <si>
    <t>Namen der Varianten bitte hier eingeben =&gt;</t>
  </si>
  <si>
    <t>Straße oder Gelände?</t>
  </si>
  <si>
    <t>Tiefe 2,5 oder 4,5 Meter</t>
  </si>
  <si>
    <t>Hausanschlüsse</t>
  </si>
  <si>
    <t>Stück</t>
  </si>
  <si>
    <t>tatsächliche Invest-Kosten</t>
  </si>
  <si>
    <t>Richtwert o. tatsächl. Kosten verwenden?</t>
  </si>
  <si>
    <t>tatsächliche Betriebs-Kosten</t>
  </si>
  <si>
    <t>Förderleistung</t>
  </si>
  <si>
    <t>Anlagen &gt; 50 EW (keine KKA), Größe</t>
  </si>
  <si>
    <t>eigene KA oder Überleitung?</t>
  </si>
  <si>
    <t>Preissteigerung für lfd. Kosten p.a.</t>
  </si>
  <si>
    <t>wenn an externe KA, dann deren Ausbaugröße</t>
  </si>
  <si>
    <t>angeschlossene Einwohnerwerte</t>
  </si>
  <si>
    <t>Je &gt; Nutzwertkosten desto besser die Lösung.</t>
  </si>
  <si>
    <t>Je &lt; PKBW desto besser die Lösung.</t>
  </si>
  <si>
    <t>Ermittlung der Nutzwert-Kosten 25 Jahre (NWK = NW / (PKBW/1.000))</t>
  </si>
  <si>
    <t>Ermittlung der Nutzwert-Kosten 50 Jahre (NWK = NW / (PKBW/1.000))</t>
  </si>
  <si>
    <t>Ergebnisse von Nutzwert, Projektkostenbarwert und Nutzwert-Kosten</t>
  </si>
  <si>
    <t>Bewertung der Kriterien / Teilziele</t>
  </si>
  <si>
    <t>Eingabe 2</t>
  </si>
  <si>
    <t>Eingabe 1</t>
  </si>
  <si>
    <t>Hilfszellen</t>
  </si>
  <si>
    <t>Hilfszellen - gesperrt</t>
  </si>
  <si>
    <t>Eingaben sind nur in den Blättern "Eingabe_1" und "Eingabe_2" in den hellgrün unterlegten Feldern möglich.</t>
  </si>
  <si>
    <t>Variante 1</t>
  </si>
  <si>
    <t>Variante 2</t>
  </si>
  <si>
    <t>Variante 3</t>
  </si>
  <si>
    <t>Namen der Varianten werden aus Eingabe 1 übernommenn =&gt;</t>
  </si>
  <si>
    <t>Pumpwerk 1</t>
  </si>
  <si>
    <t>Pumpwerk 2</t>
  </si>
  <si>
    <t>Pumpwerk 3</t>
  </si>
  <si>
    <t>Kläranlage 1</t>
  </si>
  <si>
    <t>Kläranlage 2</t>
  </si>
  <si>
    <t>RÜB</t>
  </si>
  <si>
    <t>RRB</t>
  </si>
  <si>
    <t>Art (RÜB, RRB, RKB)</t>
  </si>
  <si>
    <t>Lage</t>
  </si>
  <si>
    <t>Boden</t>
  </si>
  <si>
    <t>innerorts, geschlossen</t>
  </si>
  <si>
    <t>außerorts, offen</t>
  </si>
  <si>
    <t>normal</t>
  </si>
  <si>
    <t>schwierig</t>
  </si>
  <si>
    <t>RÜB / RRB / RKB</t>
  </si>
  <si>
    <t>Volumen</t>
  </si>
  <si>
    <t>m³</t>
  </si>
  <si>
    <t>RKB</t>
  </si>
  <si>
    <t>RÜB / RRB / RKB  1</t>
  </si>
  <si>
    <t>Becken 1</t>
  </si>
  <si>
    <t>Becken 2</t>
  </si>
  <si>
    <t>Becken 3</t>
  </si>
  <si>
    <t>RÜBinnerorts, geschlossennormal</t>
  </si>
  <si>
    <t>RÜBinnerorts, geschlossenschwierig</t>
  </si>
  <si>
    <t>RÜBaußerorts, offennormal</t>
  </si>
  <si>
    <t>RÜBaußerorts, offenschwierig</t>
  </si>
  <si>
    <t>RKBinnerorts, geschlossennormal</t>
  </si>
  <si>
    <t>RKBinnerorts, geschlossenschwierig</t>
  </si>
  <si>
    <t>RKBaußerorts, offennormal</t>
  </si>
  <si>
    <t>RKBaußerorts, offenschwierig</t>
  </si>
  <si>
    <t>RÜB / RRB / RKB  2</t>
  </si>
  <si>
    <t>RÜB / RRB / RKB  3</t>
  </si>
  <si>
    <t>RRBinnerorts, geschlossenschwierig</t>
  </si>
  <si>
    <t>RRBinnerorts, geschlossennormal</t>
  </si>
  <si>
    <t>RRBaußerorts, offenschwierig</t>
  </si>
  <si>
    <t>RRBaußerorts, offennormal</t>
  </si>
  <si>
    <t>Wartung</t>
  </si>
  <si>
    <t>Kläranlage 3</t>
  </si>
  <si>
    <t>Anlagen &gt; 50 EW (keine KKA) 1</t>
  </si>
  <si>
    <t>Anlagen &gt; 50 EW (keine KKA) 2</t>
  </si>
  <si>
    <t>Anlagen &gt; 50 EW (keine KKA) 3</t>
  </si>
  <si>
    <t>tatsächliche Invest-Kosten pro Stück</t>
  </si>
  <si>
    <t>EUR/Stück</t>
  </si>
  <si>
    <t>innerörtlich 1</t>
  </si>
  <si>
    <t>innerörtlich 2</t>
  </si>
  <si>
    <t>innerörtlich 3</t>
  </si>
  <si>
    <t>Überleitung 1</t>
  </si>
  <si>
    <t>Überleitung 2</t>
  </si>
  <si>
    <t>Überleitung 3</t>
  </si>
  <si>
    <t>Kanal innerörtlich 1</t>
  </si>
  <si>
    <t>Kanal innerörtlich 2</t>
  </si>
  <si>
    <t>Kanal innerörtlich 3</t>
  </si>
  <si>
    <t>Kanal Überleitung 1</t>
  </si>
  <si>
    <t>Kanal Überleitung 2</t>
  </si>
  <si>
    <t>Kanal Überleitung 3</t>
  </si>
  <si>
    <t>klassisch Freigefälle</t>
  </si>
  <si>
    <t>Hausanschlussschacht klassisch Freigefälle</t>
  </si>
  <si>
    <t>Haus-Pumpwerke bei Druckentwässerung</t>
  </si>
  <si>
    <t xml:space="preserve">Hausanschluss bei Vakuumentwässerung </t>
  </si>
  <si>
    <t>Druckentwässerung</t>
  </si>
  <si>
    <t>Vakuumentwässerung</t>
  </si>
  <si>
    <t>Pumpwerke / Förderung</t>
  </si>
  <si>
    <t>Vakuumstation</t>
  </si>
  <si>
    <t>innerörtlich 4</t>
  </si>
  <si>
    <t>innerörtlich 5</t>
  </si>
  <si>
    <t>innerörtlich 6</t>
  </si>
  <si>
    <t>Pumpwerk an Vakuumstation</t>
  </si>
  <si>
    <t>innerörtlich 7</t>
  </si>
  <si>
    <t>innerörtlich 8</t>
  </si>
  <si>
    <t>innerörtlich 9</t>
  </si>
  <si>
    <t>Kanal innerörtlich 4</t>
  </si>
  <si>
    <t>Kanal innerörtlich 5</t>
  </si>
  <si>
    <t>Kanal innerörtlich 6</t>
  </si>
  <si>
    <t>Kanal innerörtlich 7</t>
  </si>
  <si>
    <t>Kanal innerörtlich 8</t>
  </si>
  <si>
    <t>Kanal innerörtlich 9</t>
  </si>
  <si>
    <t>Größe</t>
  </si>
  <si>
    <t>Kleinkläranlagen 4 - 50 EW   #1</t>
  </si>
  <si>
    <t>Kleinkläranlagen 4 - 50 EW   #2</t>
  </si>
  <si>
    <t>Kleinkläranlagen 4 - 50 EW   #3</t>
  </si>
  <si>
    <t>Anzahl</t>
  </si>
  <si>
    <t>tatsächliche Betriebs-Kosten pro Stück</t>
  </si>
  <si>
    <t>EUR/(Stück x a)</t>
  </si>
  <si>
    <t>Erdbecken (RRB, RKB)</t>
  </si>
  <si>
    <t>RKBErdbecken (RRB, RKB)schwierig</t>
  </si>
  <si>
    <t>RKBErdbecken (RRB, RKB)normal</t>
  </si>
  <si>
    <t>RRBErdbecken (RRB, RKB)schwierig</t>
  </si>
  <si>
    <t>RRBErdbecken (RRB, RKB)normal</t>
  </si>
  <si>
    <t>RÜBErdbecken (RRB, RKB)normal</t>
  </si>
  <si>
    <t>RÜBErdbecken (RRB, RKB)schwierig</t>
  </si>
  <si>
    <t>Pumpwerk 4</t>
  </si>
  <si>
    <t>Pumpwerk 5</t>
  </si>
  <si>
    <t>PW</t>
  </si>
  <si>
    <t>Variante 4</t>
  </si>
  <si>
    <t>Variante 5</t>
  </si>
  <si>
    <t>Einmal-Invest 1</t>
  </si>
  <si>
    <t>Einmal-Invest 2</t>
  </si>
  <si>
    <t>Einmal-Invest 3</t>
  </si>
  <si>
    <t>Einmal-Invest</t>
  </si>
  <si>
    <t>Einmal-Invest, z.B. Grunderwerb / Abriss / Sonderbauwerke / Ausgleichsmaßnahmen</t>
  </si>
  <si>
    <t>erste Investition = Null (z.B. vorhandene Anlage)</t>
  </si>
  <si>
    <t>1. Inv</t>
  </si>
  <si>
    <t>Antl. %</t>
  </si>
  <si>
    <t>Prüfung</t>
  </si>
  <si>
    <t>delta</t>
  </si>
  <si>
    <t>Text 4</t>
  </si>
  <si>
    <t>Text 5</t>
  </si>
  <si>
    <t>KKA</t>
  </si>
  <si>
    <t>Dauer</t>
  </si>
  <si>
    <t>Dauerhaft</t>
  </si>
  <si>
    <t>dauerhaft oder 15 Jahre</t>
  </si>
  <si>
    <t>15 Jahre</t>
  </si>
  <si>
    <t>Zwischensumme dauerhaft</t>
  </si>
  <si>
    <t>Zwischensumme 15 Jahre BK KKA</t>
  </si>
  <si>
    <t>zzgl. Summe 15 Jahre BK KKA</t>
  </si>
  <si>
    <t>Betriebskosten 15 Jahre BK KKA</t>
  </si>
  <si>
    <t xml:space="preserve">Orts-KA </t>
  </si>
  <si>
    <t xml:space="preserve">Überleitung </t>
  </si>
  <si>
    <t xml:space="preserve">Grundstk-KA </t>
  </si>
  <si>
    <r>
      <t xml:space="preserve">Projektkostenbarwert nach KVR-Leitlinien der DWA, ehem. LAWA (Bund / </t>
    </r>
    <r>
      <rPr>
        <b/>
        <sz val="11"/>
        <color indexed="12"/>
        <rFont val="Arial"/>
        <family val="2"/>
      </rPr>
      <t>L</t>
    </r>
    <r>
      <rPr>
        <sz val="11"/>
        <color indexed="12"/>
        <rFont val="Arial"/>
        <family val="2"/>
      </rPr>
      <t xml:space="preserve">änder </t>
    </r>
    <r>
      <rPr>
        <b/>
        <sz val="11"/>
        <color indexed="12"/>
        <rFont val="Arial"/>
        <family val="2"/>
      </rPr>
      <t>A</t>
    </r>
    <r>
      <rPr>
        <sz val="11"/>
        <color indexed="12"/>
        <rFont val="Arial"/>
        <family val="2"/>
      </rPr>
      <t xml:space="preserve">rbeitsgemeinschaft </t>
    </r>
    <r>
      <rPr>
        <b/>
        <sz val="11"/>
        <color indexed="12"/>
        <rFont val="Arial"/>
        <family val="2"/>
      </rPr>
      <t>Wa</t>
    </r>
    <r>
      <rPr>
        <sz val="11"/>
        <color indexed="12"/>
        <rFont val="Arial"/>
        <family val="2"/>
      </rPr>
      <t>sser)</t>
    </r>
  </si>
  <si>
    <t>Grundlage der Berechnung sind die "LEITLINIEN ZUR DURCHFÜHRUNG DYNAMISCHER KOSTENVERGLEICHSRECHNUNGEN (KVR-Leitlinien)" der DWA in Kooperation mit dem DVGW.</t>
  </si>
  <si>
    <t>Aktuell gültig ist die 8. überarbeitete Auflage 2012. Voraussetzung für die Kostenvergleichsrechnung ist die Nutzengleichheit der Varianten.</t>
  </si>
  <si>
    <t>Aus den Reinvestitionszeiträumen und dem Realzinssatz werden die finanzmathematischen Faktoren (blau) nach den KVR-Leitlinien ermittelt. Bei Betriebskosten zusätzlich durch die Preissteigerungsrate.</t>
  </si>
  <si>
    <t xml:space="preserve">Die Berechnungen ermöglichen einen vereinfachten Kostenvergleich nach der Projektkostenbarwertmethode der KVR-Leitlinien. </t>
  </si>
  <si>
    <t>Empfehlung: Original Datei als Kopie unter demselben Namen mit dem Namenszusatz xxx_Sicherung.xlsx abspeichern.</t>
  </si>
  <si>
    <t>Erläuterungen zur Projektkostenbarwertberechnung nach KVR-Leitlinien mit Formeln für die finanzmathematischen Faktoren enthält das pdf-Dokument:</t>
  </si>
  <si>
    <t>Berücksichtigt werden fünf abwassertechnische Varianten, deren spezifische Daten eingegeben und verändert werden können. Dies sind beispielhaft:</t>
  </si>
  <si>
    <t>Dezentrale Kläranlage im Ort (OrtsKA), Überleitung zu einer größeren Kläranlage (Überleitung), Grundstück bezogene Reinigung (Grundstk_KA) und 2 frei konfigurierbare Varianten</t>
  </si>
  <si>
    <t>Für Fragen, Hinweise und Vorschläge wenden Sie sich bitte an die Jedele und Partner GmbH Erfurt unter 0361/ 37 47 30 oder info@jupgmbh.de</t>
  </si>
  <si>
    <t>Projektkostenbarwert nach DWA (LAWA) mit</t>
  </si>
  <si>
    <t>Projektkostenbarwerte 25 Jahre nach DWA (LAWA)</t>
  </si>
  <si>
    <t>Projektkostenbarwerte 50 Jahre nach DWA (LAWA)</t>
  </si>
  <si>
    <t>Bei der ausschließlichen Anwendung von eigenen Kosten bleibt es dem Anwender vorbehalten, ob er in brutto oder netto rechnet.</t>
  </si>
  <si>
    <t>Werden mehrere Berechnungen durchgeführt, kann Projekt bezogen abgespeichert und die Sicherungsdatei als Startoption verwendet werden.</t>
  </si>
  <si>
    <t>Die Aufhebung der Schutzfunktion ist gegenüber früheren Versionen dieser Datei nicht mehr möglich.</t>
  </si>
  <si>
    <t xml:space="preserve">Die Berechnungsblätter (Kosten Variante…) sind mit einem Blattschutz versehen und können nicht verändert werden. </t>
  </si>
  <si>
    <r>
      <t xml:space="preserve">Die Richtwertkosten sind </t>
    </r>
    <r>
      <rPr>
        <b/>
        <sz val="11"/>
        <rFont val="Arial"/>
        <family val="2"/>
      </rPr>
      <t>Baukosten einschl. MWSt. aber ohne Planungs-/Nebenkosten.</t>
    </r>
  </si>
  <si>
    <t xml:space="preserve">Werden bei Varianten eigene Kosten eingetragen und mit Varianten mit Richtwerten verglichen, muss dies entsprechend vergleichbar eingegeben werden. </t>
  </si>
  <si>
    <t xml:space="preserve">Bei den Druckleitungen bewirkt die Eingabe von 4,5 m Tiefe keine Änderung und es sind nur 2,5 m hinterlegt, weil sie üblicherweise nicht tiefer verlegt werden.  </t>
  </si>
  <si>
    <t>aktuell 2025</t>
  </si>
  <si>
    <t>Prüfsum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</si>
</sst>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D_M_-;\-* #,##0.00\ _D_M_-;_-* &quot;-&quot;??\ _D_M_-;_-@_-"/>
    <numFmt numFmtId="165" formatCode="#,##0.0"/>
    <numFmt numFmtId="166" formatCode="0.00000"/>
    <numFmt numFmtId="167" formatCode="0.0000"/>
    <numFmt numFmtId="168" formatCode="0.0"/>
    <numFmt numFmtId="169" formatCode="#,##0.000"/>
    <numFmt numFmtId="170" formatCode="#,##0.0000"/>
    <numFmt numFmtId="171" formatCode="_-* #,##0_D_-;\-* #,##0\ _D_M_-;_-* &quot;-&quot;\ _D_M_-;_-@_-"/>
    <numFmt numFmtId="172" formatCode="_-* #,##0.00_D_-;\-* #,##0.00\ _D_M_-;_-* &quot;-&quot;\ _D_M_-;_-@_-"/>
    <numFmt numFmtId="173" formatCode="_-* #,##0.000_D_-;\-* #,##0.000\ _D_M_-;_-* &quot;-&quot;\ _D_M_-;_-@_-"/>
    <numFmt numFmtId="174" formatCode="_-* #,##0.00000000_D_-;\-* #,##0.00000000\ _D_M_-;_-* &quot;-&quot;\ _D_M_-;_-@_-"/>
    <numFmt numFmtId="175" formatCode="0%_#_#"/>
    <numFmt numFmtId="176" formatCode="_-* #,##0.0_D_-;\-* #,##0.0\ _D_M_-;_-* &quot;-&quot;\ _D_M_-;_-@_-"/>
  </numFmts>
  <fonts count="100" x14ac:knownFonts="1">
    <font>
      <sz val="11"/>
      <name val="Arial"/>
    </font>
    <font>
      <sz val="11"/>
      <name val="Arial"/>
      <family val="2"/>
    </font>
    <font>
      <sz val="11"/>
      <name val="Arial"/>
      <family val="2"/>
    </font>
    <font>
      <sz val="11"/>
      <name val="Arial"/>
      <family val="2"/>
    </font>
    <font>
      <sz val="11"/>
      <name val="Arial"/>
      <family val="2"/>
    </font>
    <font>
      <b/>
      <sz val="11"/>
      <name val="Arial"/>
      <family val="2"/>
    </font>
    <font>
      <b/>
      <sz val="12"/>
      <name val="Arial"/>
      <family val="2"/>
    </font>
    <font>
      <b/>
      <sz val="11"/>
      <color indexed="9"/>
      <name val="Arial"/>
      <family val="2"/>
    </font>
    <font>
      <b/>
      <sz val="11"/>
      <color indexed="8"/>
      <name val="Arial"/>
      <family val="2"/>
    </font>
    <font>
      <b/>
      <sz val="11"/>
      <color indexed="10"/>
      <name val="Arial"/>
      <family val="2"/>
    </font>
    <font>
      <sz val="9"/>
      <name val="Arial"/>
      <family val="2"/>
    </font>
    <font>
      <sz val="8"/>
      <name val="Arial"/>
      <family val="2"/>
    </font>
    <font>
      <sz val="10"/>
      <name val="Arial"/>
      <family val="2"/>
    </font>
    <font>
      <sz val="12"/>
      <name val="Arial"/>
      <family val="2"/>
    </font>
    <font>
      <b/>
      <sz val="10"/>
      <name val="Arial"/>
      <family val="2"/>
    </font>
    <font>
      <sz val="10"/>
      <name val="Arial"/>
      <family val="2"/>
    </font>
    <font>
      <b/>
      <vertAlign val="superscript"/>
      <sz val="7.5"/>
      <name val="Arial"/>
      <family val="2"/>
    </font>
    <font>
      <sz val="8"/>
      <name val="Arial"/>
      <family val="2"/>
    </font>
    <font>
      <sz val="10"/>
      <color indexed="8"/>
      <name val="Arial"/>
      <family val="2"/>
    </font>
    <font>
      <sz val="8"/>
      <color indexed="10"/>
      <name val="Arial"/>
      <family val="2"/>
    </font>
    <font>
      <i/>
      <sz val="10"/>
      <name val="Arial"/>
      <family val="2"/>
    </font>
    <font>
      <sz val="10"/>
      <color indexed="12"/>
      <name val="Arial"/>
      <family val="2"/>
    </font>
    <font>
      <sz val="9"/>
      <name val="Arial"/>
      <family val="2"/>
    </font>
    <font>
      <b/>
      <sz val="9"/>
      <name val="Arial"/>
      <family val="2"/>
    </font>
    <font>
      <sz val="10"/>
      <color indexed="10"/>
      <name val="Arial"/>
      <family val="2"/>
    </font>
    <font>
      <sz val="8"/>
      <color indexed="10"/>
      <name val="Arial"/>
      <family val="2"/>
    </font>
    <font>
      <sz val="11"/>
      <name val="Arial"/>
      <family val="2"/>
    </font>
    <font>
      <b/>
      <sz val="9"/>
      <color indexed="20"/>
      <name val="Arial"/>
      <family val="2"/>
    </font>
    <font>
      <b/>
      <sz val="9"/>
      <color indexed="9"/>
      <name val="Arial"/>
      <family val="2"/>
    </font>
    <font>
      <sz val="9"/>
      <color indexed="9"/>
      <name val="Arial"/>
      <family val="2"/>
    </font>
    <font>
      <sz val="9"/>
      <color indexed="8"/>
      <name val="Arial"/>
      <family val="2"/>
    </font>
    <font>
      <b/>
      <sz val="10"/>
      <color indexed="10"/>
      <name val="Arial"/>
      <family val="2"/>
    </font>
    <font>
      <sz val="10"/>
      <color indexed="12"/>
      <name val="Tahoma"/>
      <family val="2"/>
    </font>
    <font>
      <b/>
      <sz val="10"/>
      <color indexed="81"/>
      <name val="Tahoma"/>
      <family val="2"/>
    </font>
    <font>
      <sz val="10"/>
      <color indexed="81"/>
      <name val="Tahoma"/>
      <family val="2"/>
    </font>
    <font>
      <sz val="12"/>
      <color indexed="12"/>
      <name val="Tahoma"/>
      <family val="2"/>
    </font>
    <font>
      <b/>
      <sz val="12"/>
      <color indexed="12"/>
      <name val="Tahoma"/>
      <family val="2"/>
    </font>
    <font>
      <u/>
      <sz val="12"/>
      <color indexed="12"/>
      <name val="Tahoma"/>
      <family val="2"/>
    </font>
    <font>
      <sz val="12"/>
      <color indexed="23"/>
      <name val="Arial"/>
      <family val="2"/>
    </font>
    <font>
      <sz val="10"/>
      <color indexed="23"/>
      <name val="Arial"/>
      <family val="2"/>
    </font>
    <font>
      <sz val="8"/>
      <color indexed="23"/>
      <name val="Arial"/>
      <family val="2"/>
    </font>
    <font>
      <b/>
      <sz val="10"/>
      <color indexed="23"/>
      <name val="Arial"/>
      <family val="2"/>
    </font>
    <font>
      <i/>
      <sz val="10"/>
      <color indexed="23"/>
      <name val="Arial"/>
      <family val="2"/>
    </font>
    <font>
      <sz val="10"/>
      <color indexed="22"/>
      <name val="Arial"/>
      <family val="2"/>
    </font>
    <font>
      <b/>
      <sz val="10"/>
      <color indexed="22"/>
      <name val="Arial"/>
      <family val="2"/>
    </font>
    <font>
      <sz val="8"/>
      <color indexed="22"/>
      <name val="Arial"/>
      <family val="2"/>
    </font>
    <font>
      <sz val="10"/>
      <color indexed="23"/>
      <name val="Arial"/>
      <family val="2"/>
    </font>
    <font>
      <i/>
      <sz val="10"/>
      <color indexed="23"/>
      <name val="Arial"/>
      <family val="2"/>
    </font>
    <font>
      <sz val="8"/>
      <color indexed="45"/>
      <name val="Arial"/>
      <family val="2"/>
    </font>
    <font>
      <b/>
      <sz val="10"/>
      <color indexed="17"/>
      <name val="Arial"/>
      <family val="2"/>
    </font>
    <font>
      <sz val="10"/>
      <color indexed="17"/>
      <name val="Arial"/>
      <family val="2"/>
    </font>
    <font>
      <sz val="8"/>
      <color indexed="12"/>
      <name val="Arial"/>
      <family val="2"/>
    </font>
    <font>
      <sz val="11"/>
      <color indexed="14"/>
      <name val="Arial"/>
      <family val="2"/>
    </font>
    <font>
      <b/>
      <sz val="12"/>
      <color indexed="9"/>
      <name val="Arial"/>
      <family val="2"/>
    </font>
    <font>
      <sz val="11"/>
      <color indexed="12"/>
      <name val="Arial"/>
      <family val="2"/>
    </font>
    <font>
      <b/>
      <sz val="11"/>
      <color indexed="12"/>
      <name val="Arial"/>
      <family val="2"/>
    </font>
    <font>
      <sz val="11"/>
      <color indexed="8"/>
      <name val="Arial"/>
      <family val="2"/>
    </font>
    <font>
      <b/>
      <sz val="16"/>
      <name val="Arial"/>
      <family val="2"/>
    </font>
    <font>
      <sz val="16"/>
      <name val="Arial"/>
      <family val="2"/>
    </font>
    <font>
      <b/>
      <sz val="8"/>
      <color indexed="81"/>
      <name val="Tahoma"/>
      <family val="2"/>
    </font>
    <font>
      <b/>
      <sz val="8"/>
      <color indexed="12"/>
      <name val="Tahoma"/>
      <family val="2"/>
    </font>
    <font>
      <sz val="8"/>
      <color indexed="12"/>
      <name val="Tahoma"/>
      <family val="2"/>
    </font>
    <font>
      <sz val="11"/>
      <color indexed="14"/>
      <name val="Arial"/>
      <family val="2"/>
    </font>
    <font>
      <i/>
      <sz val="10"/>
      <color indexed="8"/>
      <name val="Arial"/>
      <family val="2"/>
    </font>
    <font>
      <sz val="9"/>
      <color indexed="81"/>
      <name val="Tahoma"/>
      <family val="2"/>
    </font>
    <font>
      <b/>
      <sz val="9"/>
      <color indexed="81"/>
      <name val="Tahoma"/>
      <family val="2"/>
    </font>
    <font>
      <sz val="16"/>
      <color rgb="FF000000"/>
      <name val="Arial"/>
      <family val="2"/>
    </font>
    <font>
      <sz val="8"/>
      <color indexed="81"/>
      <name val="Tahoma"/>
      <family val="2"/>
    </font>
    <font>
      <sz val="26"/>
      <color rgb="FF000000"/>
      <name val="Arial"/>
      <family val="2"/>
    </font>
    <font>
      <sz val="11"/>
      <color rgb="FFFF0000"/>
      <name val="Arial"/>
      <family val="2"/>
    </font>
    <font>
      <b/>
      <sz val="11"/>
      <color rgb="FFFF0000"/>
      <name val="Arial"/>
      <family val="2"/>
    </font>
    <font>
      <b/>
      <sz val="8"/>
      <color indexed="39"/>
      <name val="Tahoma"/>
      <family val="2"/>
    </font>
    <font>
      <sz val="8"/>
      <color indexed="39"/>
      <name val="Tahoma"/>
      <family val="2"/>
    </font>
    <font>
      <b/>
      <sz val="12"/>
      <color theme="0" tint="-4.9989318521683403E-2"/>
      <name val="Arial"/>
      <family val="2"/>
    </font>
    <font>
      <sz val="10"/>
      <color theme="0" tint="-4.9989318521683403E-2"/>
      <name val="Arial"/>
      <family val="2"/>
    </font>
    <font>
      <i/>
      <sz val="10"/>
      <color theme="0" tint="-4.9989318521683403E-2"/>
      <name val="Arial"/>
      <family val="2"/>
    </font>
    <font>
      <sz val="8"/>
      <color theme="0" tint="-4.9989318521683403E-2"/>
      <name val="Arial"/>
      <family val="2"/>
    </font>
    <font>
      <sz val="10"/>
      <color rgb="FF00B050"/>
      <name val="Arial"/>
      <family val="2"/>
    </font>
    <font>
      <i/>
      <sz val="11"/>
      <color rgb="FF006600"/>
      <name val="Arial"/>
      <family val="2"/>
    </font>
    <font>
      <i/>
      <sz val="11"/>
      <name val="Arial"/>
      <family val="2"/>
    </font>
    <font>
      <b/>
      <i/>
      <sz val="11"/>
      <color rgb="FF006600"/>
      <name val="Arial"/>
      <family val="2"/>
    </font>
    <font>
      <sz val="11"/>
      <color rgb="FFCCC3D0"/>
      <name val="Arial"/>
      <family val="2"/>
    </font>
    <font>
      <sz val="9"/>
      <color rgb="FF0000FF"/>
      <name val="Arial"/>
      <family val="2"/>
    </font>
    <font>
      <b/>
      <sz val="9"/>
      <color rgb="FF0000FF"/>
      <name val="Arial"/>
      <family val="2"/>
    </font>
    <font>
      <b/>
      <sz val="12"/>
      <color rgb="FF00B050"/>
      <name val="Arial"/>
      <family val="2"/>
    </font>
    <font>
      <b/>
      <sz val="10"/>
      <color rgb="FF00B050"/>
      <name val="Arial"/>
      <family val="2"/>
    </font>
    <font>
      <sz val="8"/>
      <color rgb="FF00B050"/>
      <name val="Arial"/>
      <family val="2"/>
    </font>
    <font>
      <i/>
      <sz val="10"/>
      <color rgb="FF00B050"/>
      <name val="Arial"/>
      <family val="2"/>
    </font>
    <font>
      <b/>
      <sz val="11"/>
      <color rgb="FF00B050"/>
      <name val="Arial"/>
      <family val="2"/>
    </font>
    <font>
      <sz val="9"/>
      <color indexed="81"/>
      <name val="Segoe UI"/>
      <family val="2"/>
    </font>
    <font>
      <b/>
      <sz val="9"/>
      <color indexed="81"/>
      <name val="Segoe UI"/>
      <family val="2"/>
    </font>
    <font>
      <sz val="11"/>
      <color rgb="FF0000FF"/>
      <name val="Arial"/>
      <family val="2"/>
    </font>
    <font>
      <i/>
      <sz val="8"/>
      <color rgb="FF0000FF"/>
      <name val="Arial"/>
      <family val="2"/>
    </font>
    <font>
      <i/>
      <sz val="10"/>
      <color rgb="FFFF0000"/>
      <name val="Arial"/>
      <family val="2"/>
    </font>
    <font>
      <sz val="14"/>
      <name val="Arial"/>
      <family val="2"/>
    </font>
    <font>
      <b/>
      <sz val="14"/>
      <name val="Arial"/>
      <family val="2"/>
    </font>
    <font>
      <b/>
      <sz val="14"/>
      <color rgb="FFFF0000"/>
      <name val="Arial"/>
      <family val="2"/>
    </font>
    <font>
      <sz val="14"/>
      <color theme="1"/>
      <name val="Arial"/>
      <family val="2"/>
    </font>
    <font>
      <sz val="11"/>
      <color theme="1"/>
      <name val="Arial"/>
      <family val="2"/>
    </font>
    <font>
      <sz val="10"/>
      <color theme="0" tint="-0.14999847407452621"/>
      <name val="Arial"/>
      <family val="2"/>
    </font>
  </fonts>
  <fills count="27">
    <fill>
      <patternFill patternType="none"/>
    </fill>
    <fill>
      <patternFill patternType="gray125"/>
    </fill>
    <fill>
      <patternFill patternType="solid">
        <fgColor indexed="10"/>
        <bgColor indexed="64"/>
      </patternFill>
    </fill>
    <fill>
      <patternFill patternType="solid">
        <fgColor indexed="11"/>
        <bgColor indexed="64"/>
      </patternFill>
    </fill>
    <fill>
      <patternFill patternType="solid">
        <fgColor indexed="42"/>
        <bgColor indexed="64"/>
      </patternFill>
    </fill>
    <fill>
      <patternFill patternType="solid">
        <fgColor indexed="47"/>
        <bgColor indexed="64"/>
      </patternFill>
    </fill>
    <fill>
      <patternFill patternType="solid">
        <fgColor indexed="12"/>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indexed="45"/>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9.9978637043366805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99CCFF"/>
        <bgColor indexed="64"/>
      </patternFill>
    </fill>
    <fill>
      <patternFill patternType="solid">
        <fgColor rgb="FFFF99CC"/>
        <bgColor indexed="64"/>
      </patternFill>
    </fill>
    <fill>
      <patternFill patternType="solid">
        <fgColor rgb="FFFFFF00"/>
        <bgColor indexed="64"/>
      </patternFill>
    </fill>
    <fill>
      <patternFill patternType="solid">
        <fgColor rgb="FFFFC000"/>
        <bgColor indexed="64"/>
      </patternFill>
    </fill>
    <fill>
      <patternFill patternType="solid">
        <fgColor rgb="FFFF99FF"/>
        <bgColor indexed="64"/>
      </patternFill>
    </fill>
    <fill>
      <patternFill patternType="solid">
        <fgColor rgb="FFFFCC66"/>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249977111117893"/>
        <bgColor indexed="64"/>
      </patternFill>
    </fill>
  </fills>
  <borders count="99">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style="thin">
        <color indexed="64"/>
      </right>
      <top style="thin">
        <color indexed="64"/>
      </top>
      <bottom/>
      <diagonal/>
    </border>
    <border>
      <left style="medium">
        <color indexed="10"/>
      </left>
      <right style="thin">
        <color indexed="64"/>
      </right>
      <top/>
      <bottom style="thin">
        <color indexed="64"/>
      </bottom>
      <diagonal/>
    </border>
    <border>
      <left style="medium">
        <color indexed="10"/>
      </left>
      <right style="thin">
        <color indexed="64"/>
      </right>
      <top/>
      <bottom/>
      <diagonal/>
    </border>
    <border>
      <left/>
      <right/>
      <top style="thin">
        <color indexed="64"/>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right style="thin">
        <color indexed="64"/>
      </right>
      <top style="thin">
        <color indexed="22"/>
      </top>
      <bottom style="thin">
        <color indexed="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top/>
      <bottom style="medium">
        <color indexed="9"/>
      </bottom>
      <diagonal/>
    </border>
    <border>
      <left style="thin">
        <color indexed="45"/>
      </left>
      <right style="thin">
        <color indexed="45"/>
      </right>
      <top style="thin">
        <color indexed="45"/>
      </top>
      <bottom style="thin">
        <color indexed="45"/>
      </bottom>
      <diagonal/>
    </border>
    <border>
      <left/>
      <right style="hair">
        <color indexed="64"/>
      </right>
      <top/>
      <bottom/>
      <diagonal/>
    </border>
    <border>
      <left/>
      <right/>
      <top style="medium">
        <color indexed="9"/>
      </top>
      <bottom style="medium">
        <color indexed="9"/>
      </bottom>
      <diagonal/>
    </border>
    <border>
      <left style="thin">
        <color indexed="45"/>
      </left>
      <right style="thin">
        <color indexed="45"/>
      </right>
      <top style="thin">
        <color indexed="45"/>
      </top>
      <bottom/>
      <diagonal/>
    </border>
    <border>
      <left/>
      <right style="hair">
        <color indexed="64"/>
      </right>
      <top style="thin">
        <color indexed="64"/>
      </top>
      <bottom style="hair">
        <color indexed="64"/>
      </bottom>
      <diagonal/>
    </border>
    <border>
      <left style="thin">
        <color indexed="45"/>
      </left>
      <right style="thin">
        <color indexed="45"/>
      </right>
      <top style="thin">
        <color indexed="8"/>
      </top>
      <bottom style="thin">
        <color indexed="45"/>
      </bottom>
      <diagonal/>
    </border>
    <border>
      <left style="thin">
        <color indexed="45"/>
      </left>
      <right/>
      <top style="thin">
        <color indexed="8"/>
      </top>
      <bottom style="hair">
        <color indexed="64"/>
      </bottom>
      <diagonal/>
    </border>
    <border>
      <left/>
      <right/>
      <top style="thin">
        <color indexed="45"/>
      </top>
      <bottom/>
      <diagonal/>
    </border>
    <border>
      <left style="hair">
        <color indexed="64"/>
      </left>
      <right/>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medium">
        <color indexed="9"/>
      </left>
      <right style="medium">
        <color indexed="9"/>
      </right>
      <top style="medium">
        <color indexed="9"/>
      </top>
      <bottom style="medium">
        <color indexed="9"/>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ck">
        <color indexed="42"/>
      </left>
      <right/>
      <top style="thick">
        <color indexed="42"/>
      </top>
      <bottom style="thick">
        <color indexed="42"/>
      </bottom>
      <diagonal/>
    </border>
    <border>
      <left/>
      <right/>
      <top style="thick">
        <color indexed="42"/>
      </top>
      <bottom style="thick">
        <color indexed="42"/>
      </bottom>
      <diagonal/>
    </border>
    <border>
      <left/>
      <right style="thick">
        <color indexed="42"/>
      </right>
      <top style="thick">
        <color indexed="42"/>
      </top>
      <bottom style="thick">
        <color indexed="42"/>
      </bottom>
      <diagonal/>
    </border>
    <border>
      <left style="thin">
        <color indexed="64"/>
      </left>
      <right style="thin">
        <color indexed="22"/>
      </right>
      <top style="thin">
        <color indexed="64"/>
      </top>
      <bottom style="thin">
        <color indexed="22"/>
      </bottom>
      <diagonal/>
    </border>
    <border>
      <left style="thin">
        <color indexed="64"/>
      </left>
      <right style="thin">
        <color indexed="64"/>
      </right>
      <top style="thin">
        <color indexed="64"/>
      </top>
      <bottom style="thin">
        <color indexed="22"/>
      </bottom>
      <diagonal/>
    </border>
    <border>
      <left style="thin">
        <color indexed="64"/>
      </left>
      <right style="thin">
        <color indexed="22"/>
      </right>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22"/>
      </right>
      <top style="thin">
        <color indexed="22"/>
      </top>
      <bottom/>
      <diagonal/>
    </border>
    <border>
      <left style="thin">
        <color indexed="64"/>
      </left>
      <right style="thin">
        <color indexed="64"/>
      </right>
      <top style="thin">
        <color indexed="22"/>
      </top>
      <bottom/>
      <diagonal/>
    </border>
    <border>
      <left style="thin">
        <color indexed="64"/>
      </left>
      <right style="thin">
        <color indexed="22"/>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top style="thin">
        <color indexed="22"/>
      </top>
      <bottom/>
      <diagonal/>
    </border>
    <border>
      <left/>
      <right/>
      <top/>
      <bottom style="thin">
        <color indexed="22"/>
      </bottom>
      <diagonal/>
    </border>
    <border>
      <left/>
      <right/>
      <top/>
      <bottom style="thin">
        <color indexed="45"/>
      </bottom>
      <diagonal/>
    </border>
    <border>
      <left/>
      <right/>
      <top style="thin">
        <color indexed="8"/>
      </top>
      <bottom/>
      <diagonal/>
    </border>
    <border>
      <left/>
      <right/>
      <top style="thin">
        <color indexed="8"/>
      </top>
      <bottom style="hair">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10"/>
      </left>
      <right/>
      <top style="thin">
        <color indexed="64"/>
      </top>
      <bottom/>
      <diagonal/>
    </border>
    <border>
      <left style="medium">
        <color indexed="10"/>
      </left>
      <right/>
      <top/>
      <bottom style="thin">
        <color indexed="64"/>
      </bottom>
      <diagonal/>
    </border>
    <border>
      <left/>
      <right/>
      <top style="thin">
        <color auto="1"/>
      </top>
      <bottom/>
      <diagonal/>
    </border>
    <border>
      <left/>
      <right style="medium">
        <color indexed="10"/>
      </right>
      <top style="thin">
        <color auto="1"/>
      </top>
      <bottom/>
      <diagonal/>
    </border>
    <border>
      <left/>
      <right/>
      <top/>
      <bottom style="thin">
        <color auto="1"/>
      </bottom>
      <diagonal/>
    </border>
    <border>
      <left/>
      <right style="medium">
        <color indexed="10"/>
      </right>
      <top/>
      <bottom style="thin">
        <color auto="1"/>
      </bottom>
      <diagonal/>
    </border>
    <border>
      <left/>
      <right style="medium">
        <color indexed="10"/>
      </right>
      <top style="thin">
        <color auto="1"/>
      </top>
      <bottom style="thin">
        <color auto="1"/>
      </bottom>
      <diagonal/>
    </border>
    <border>
      <left/>
      <right/>
      <top style="thin">
        <color auto="1"/>
      </top>
      <bottom style="thin">
        <color auto="1"/>
      </bottom>
      <diagonal/>
    </border>
    <border>
      <left style="medium">
        <color indexed="10"/>
      </left>
      <right/>
      <top style="hair">
        <color auto="1"/>
      </top>
      <bottom style="hair">
        <color auto="1"/>
      </bottom>
      <diagonal/>
    </border>
    <border>
      <left/>
      <right style="medium">
        <color indexed="10"/>
      </right>
      <top style="hair">
        <color auto="1"/>
      </top>
      <bottom style="hair">
        <color auto="1"/>
      </bottom>
      <diagonal/>
    </border>
    <border>
      <left style="medium">
        <color indexed="10"/>
      </left>
      <right/>
      <top style="thin">
        <color auto="1"/>
      </top>
      <bottom style="thin">
        <color auto="1"/>
      </bottom>
      <diagonal/>
    </border>
    <border>
      <left/>
      <right style="medium">
        <color indexed="10"/>
      </right>
      <top style="thin">
        <color auto="1"/>
      </top>
      <bottom style="thin">
        <color auto="1"/>
      </bottom>
      <diagonal/>
    </border>
    <border>
      <left style="thin">
        <color indexed="45"/>
      </left>
      <right style="thin">
        <color indexed="45"/>
      </right>
      <top style="thin">
        <color indexed="45"/>
      </top>
      <bottom style="thin">
        <color indexed="45"/>
      </bottom>
      <diagonal/>
    </border>
    <border>
      <left/>
      <right/>
      <top style="thin">
        <color indexed="64"/>
      </top>
      <bottom/>
      <diagonal/>
    </border>
    <border>
      <left style="thin">
        <color indexed="45"/>
      </left>
      <right style="thin">
        <color indexed="45"/>
      </right>
      <top style="thin">
        <color indexed="8"/>
      </top>
      <bottom/>
      <diagonal/>
    </border>
    <border>
      <left style="thin">
        <color indexed="45"/>
      </left>
      <right/>
      <top style="thin">
        <color indexed="8"/>
      </top>
      <bottom/>
      <diagonal/>
    </border>
    <border>
      <left style="hair">
        <color indexed="64"/>
      </left>
      <right/>
      <top style="thin">
        <color indexed="64"/>
      </top>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bottom style="thin">
        <color indexed="45"/>
      </bottom>
      <diagonal/>
    </border>
    <border>
      <left style="thin">
        <color indexed="45"/>
      </left>
      <right/>
      <top style="thin">
        <color indexed="8"/>
      </top>
      <bottom style="hair">
        <color indexed="64"/>
      </bottom>
      <diagonal/>
    </border>
    <border>
      <left/>
      <right/>
      <top style="thin">
        <color auto="1"/>
      </top>
      <bottom style="hair">
        <color indexed="64"/>
      </bottom>
      <diagonal/>
    </border>
    <border>
      <left/>
      <right/>
      <top style="thin">
        <color indexed="8"/>
      </top>
      <bottom style="hair">
        <color indexed="64"/>
      </bottom>
      <diagonal/>
    </border>
    <border>
      <left/>
      <right/>
      <top style="thin">
        <color indexed="8"/>
      </top>
      <bottom/>
      <diagonal/>
    </border>
    <border>
      <left style="thin">
        <color indexed="22"/>
      </left>
      <right/>
      <top style="thin">
        <color indexed="22"/>
      </top>
      <bottom style="thin">
        <color indexed="22"/>
      </bottom>
      <diagonal/>
    </border>
    <border>
      <left/>
      <right style="thin">
        <color auto="1"/>
      </right>
      <top/>
      <bottom/>
      <diagonal/>
    </border>
    <border>
      <left/>
      <right/>
      <top style="thin">
        <color indexed="22"/>
      </top>
      <bottom style="thin">
        <color indexed="22"/>
      </bottom>
      <diagonal/>
    </border>
  </borders>
  <cellStyleXfs count="6">
    <xf numFmtId="0" fontId="0" fillId="0" borderId="0"/>
    <xf numFmtId="164" fontId="4" fillId="0" borderId="0" applyFont="0" applyFill="0" applyBorder="0" applyAlignment="0" applyProtection="0"/>
    <xf numFmtId="0" fontId="12" fillId="0" borderId="0"/>
    <xf numFmtId="0" fontId="12" fillId="0" borderId="0"/>
    <xf numFmtId="0" fontId="12" fillId="0" borderId="0"/>
    <xf numFmtId="9" fontId="2" fillId="0" borderId="0" applyFont="0" applyFill="0" applyBorder="0" applyAlignment="0" applyProtection="0"/>
  </cellStyleXfs>
  <cellXfs count="613">
    <xf numFmtId="0" fontId="0" fillId="0" borderId="0" xfId="0"/>
    <xf numFmtId="0" fontId="22" fillId="0" borderId="0" xfId="4" applyFont="1" applyAlignment="1">
      <alignment horizontal="right"/>
    </xf>
    <xf numFmtId="3" fontId="23" fillId="2" borderId="0" xfId="4" applyNumberFormat="1" applyFont="1" applyFill="1" applyAlignment="1">
      <alignment horizontal="left"/>
    </xf>
    <xf numFmtId="3" fontId="22" fillId="2" borderId="0" xfId="4" applyNumberFormat="1" applyFont="1" applyFill="1" applyAlignment="1">
      <alignment horizontal="right"/>
    </xf>
    <xf numFmtId="3" fontId="22" fillId="2" borderId="2" xfId="4" applyNumberFormat="1" applyFont="1" applyFill="1" applyBorder="1" applyAlignment="1">
      <alignment horizontal="right"/>
    </xf>
    <xf numFmtId="3" fontId="22" fillId="2" borderId="3" xfId="4" applyNumberFormat="1" applyFont="1" applyFill="1" applyBorder="1" applyAlignment="1">
      <alignment horizontal="right"/>
    </xf>
    <xf numFmtId="3" fontId="23" fillId="3" borderId="0" xfId="4" applyNumberFormat="1" applyFont="1" applyFill="1" applyAlignment="1">
      <alignment horizontal="left"/>
    </xf>
    <xf numFmtId="3" fontId="22" fillId="3" borderId="0" xfId="4" applyNumberFormat="1" applyFont="1" applyFill="1" applyAlignment="1">
      <alignment horizontal="right"/>
    </xf>
    <xf numFmtId="3" fontId="22" fillId="3" borderId="2" xfId="4" applyNumberFormat="1" applyFont="1" applyFill="1" applyBorder="1" applyAlignment="1">
      <alignment horizontal="right"/>
    </xf>
    <xf numFmtId="3" fontId="22" fillId="3" borderId="3" xfId="4" applyNumberFormat="1" applyFont="1" applyFill="1" applyBorder="1" applyAlignment="1">
      <alignment horizontal="right"/>
    </xf>
    <xf numFmtId="0" fontId="22" fillId="0" borderId="0" xfId="4" quotePrefix="1" applyFont="1" applyAlignment="1">
      <alignment horizontal="right"/>
    </xf>
    <xf numFmtId="3" fontId="22" fillId="0" borderId="0" xfId="4" applyNumberFormat="1" applyFont="1" applyAlignment="1">
      <alignment horizontal="right"/>
    </xf>
    <xf numFmtId="3" fontId="22" fillId="0" borderId="2" xfId="4" applyNumberFormat="1" applyFont="1" applyBorder="1" applyAlignment="1">
      <alignment horizontal="right"/>
    </xf>
    <xf numFmtId="0" fontId="22" fillId="0" borderId="3" xfId="4" applyFont="1" applyBorder="1" applyAlignment="1">
      <alignment horizontal="right"/>
    </xf>
    <xf numFmtId="0" fontId="22" fillId="0" borderId="0" xfId="4" quotePrefix="1" applyFont="1" applyAlignment="1">
      <alignment horizontal="left"/>
    </xf>
    <xf numFmtId="4" fontId="22" fillId="0" borderId="0" xfId="4" applyNumberFormat="1" applyFont="1" applyAlignment="1">
      <alignment horizontal="right"/>
    </xf>
    <xf numFmtId="0" fontId="22" fillId="0" borderId="3" xfId="4" quotePrefix="1" applyFont="1" applyBorder="1" applyAlignment="1">
      <alignment horizontal="right"/>
    </xf>
    <xf numFmtId="3" fontId="22" fillId="0" borderId="0" xfId="4" quotePrefix="1" applyNumberFormat="1" applyFont="1" applyAlignment="1">
      <alignment horizontal="right"/>
    </xf>
    <xf numFmtId="3" fontId="22" fillId="0" borderId="3" xfId="4" applyNumberFormat="1" applyFont="1" applyBorder="1" applyAlignment="1">
      <alignment horizontal="right"/>
    </xf>
    <xf numFmtId="0" fontId="22" fillId="4" borderId="0" xfId="4" applyFont="1" applyFill="1" applyAlignment="1">
      <alignment horizontal="right"/>
    </xf>
    <xf numFmtId="170" fontId="22" fillId="0" borderId="0" xfId="4" applyNumberFormat="1" applyFont="1" applyAlignment="1">
      <alignment horizontal="right"/>
    </xf>
    <xf numFmtId="169" fontId="22" fillId="0" borderId="0" xfId="4" applyNumberFormat="1" applyFont="1" applyAlignment="1">
      <alignment horizontal="right"/>
    </xf>
    <xf numFmtId="0" fontId="23" fillId="0" borderId="0" xfId="4" applyFont="1" applyAlignment="1">
      <alignment horizontal="right"/>
    </xf>
    <xf numFmtId="168" fontId="23" fillId="0" borderId="0" xfId="4" applyNumberFormat="1" applyFont="1" applyAlignment="1">
      <alignment horizontal="right"/>
    </xf>
    <xf numFmtId="3" fontId="22" fillId="0" borderId="2" xfId="4" quotePrefix="1" applyNumberFormat="1" applyFont="1" applyBorder="1" applyAlignment="1">
      <alignment horizontal="left"/>
    </xf>
    <xf numFmtId="3" fontId="23" fillId="0" borderId="2" xfId="4" applyNumberFormat="1" applyFont="1" applyBorder="1" applyAlignment="1">
      <alignment horizontal="right"/>
    </xf>
    <xf numFmtId="4" fontId="22" fillId="0" borderId="2" xfId="4" applyNumberFormat="1" applyFont="1" applyBorder="1" applyAlignment="1">
      <alignment horizontal="right"/>
    </xf>
    <xf numFmtId="3" fontId="28" fillId="6" borderId="0" xfId="4" applyNumberFormat="1" applyFont="1" applyFill="1" applyAlignment="1">
      <alignment horizontal="left"/>
    </xf>
    <xf numFmtId="3" fontId="29" fillId="6" borderId="0" xfId="4" applyNumberFormat="1" applyFont="1" applyFill="1" applyAlignment="1">
      <alignment horizontal="right"/>
    </xf>
    <xf numFmtId="3" fontId="29" fillId="6" borderId="2" xfId="4" applyNumberFormat="1" applyFont="1" applyFill="1" applyBorder="1" applyAlignment="1">
      <alignment horizontal="right"/>
    </xf>
    <xf numFmtId="3" fontId="29" fillId="6" borderId="3" xfId="4" applyNumberFormat="1" applyFont="1" applyFill="1" applyBorder="1" applyAlignment="1">
      <alignment horizontal="right"/>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0" xfId="0" applyAlignment="1">
      <alignment horizontal="center" vertical="center"/>
    </xf>
    <xf numFmtId="0" fontId="8" fillId="0" borderId="0" xfId="0" applyFont="1" applyAlignment="1">
      <alignment horizontal="center" vertical="center"/>
    </xf>
    <xf numFmtId="2" fontId="10" fillId="0" borderId="0" xfId="0" applyNumberFormat="1" applyFont="1" applyAlignment="1">
      <alignment vertical="center"/>
    </xf>
    <xf numFmtId="0" fontId="7" fillId="0" borderId="0" xfId="0" applyFont="1" applyAlignment="1">
      <alignment horizontal="center" vertical="center"/>
    </xf>
    <xf numFmtId="0" fontId="5" fillId="0" borderId="4" xfId="0" applyFont="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26" fillId="0" borderId="5" xfId="0" applyFont="1" applyBorder="1" applyAlignment="1">
      <alignment horizontal="center" vertical="center"/>
    </xf>
    <xf numFmtId="0" fontId="5" fillId="0" borderId="5" xfId="0" applyFont="1" applyBorder="1" applyAlignment="1">
      <alignment vertical="center"/>
    </xf>
    <xf numFmtId="0" fontId="0" fillId="0" borderId="6" xfId="0" applyBorder="1" applyAlignment="1">
      <alignment horizontal="center" vertical="center"/>
    </xf>
    <xf numFmtId="0" fontId="5"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10" fillId="0" borderId="0" xfId="0" applyFont="1" applyAlignment="1">
      <alignment vertical="center"/>
    </xf>
    <xf numFmtId="0" fontId="30" fillId="0" borderId="0" xfId="0" applyFont="1" applyAlignment="1">
      <alignment vertical="center"/>
    </xf>
    <xf numFmtId="0" fontId="30" fillId="0" borderId="0" xfId="0" applyFont="1" applyAlignment="1">
      <alignment horizontal="left" vertical="center"/>
    </xf>
    <xf numFmtId="171" fontId="5" fillId="7" borderId="8" xfId="1" applyNumberFormat="1" applyFont="1" applyFill="1" applyBorder="1" applyAlignment="1">
      <alignment horizontal="right" vertical="center"/>
    </xf>
    <xf numFmtId="171" fontId="5" fillId="7" borderId="9" xfId="1" applyNumberFormat="1" applyFont="1" applyFill="1" applyBorder="1" applyAlignment="1">
      <alignment horizontal="right" vertical="center"/>
    </xf>
    <xf numFmtId="171" fontId="5" fillId="7" borderId="10" xfId="1" applyNumberFormat="1" applyFont="1" applyFill="1" applyBorder="1" applyAlignment="1">
      <alignment horizontal="right" vertical="center"/>
    </xf>
    <xf numFmtId="173" fontId="5" fillId="5" borderId="8" xfId="1" applyNumberFormat="1" applyFont="1" applyFill="1" applyBorder="1" applyAlignment="1">
      <alignment horizontal="right" vertical="center"/>
    </xf>
    <xf numFmtId="173" fontId="5" fillId="5" borderId="9" xfId="1" applyNumberFormat="1" applyFont="1" applyFill="1" applyBorder="1" applyAlignment="1">
      <alignment horizontal="right" vertical="center"/>
    </xf>
    <xf numFmtId="173" fontId="5" fillId="5" borderId="10" xfId="1" applyNumberFormat="1" applyFont="1" applyFill="1" applyBorder="1" applyAlignment="1">
      <alignment horizontal="right" vertical="center"/>
    </xf>
    <xf numFmtId="171" fontId="5" fillId="8" borderId="8" xfId="1" applyNumberFormat="1" applyFont="1" applyFill="1" applyBorder="1" applyAlignment="1">
      <alignment horizontal="right" vertical="center"/>
    </xf>
    <xf numFmtId="171" fontId="5" fillId="8" borderId="9" xfId="1" applyNumberFormat="1" applyFont="1" applyFill="1" applyBorder="1" applyAlignment="1">
      <alignment horizontal="right" vertical="center"/>
    </xf>
    <xf numFmtId="171" fontId="5" fillId="8" borderId="10" xfId="1" applyNumberFormat="1" applyFont="1" applyFill="1" applyBorder="1" applyAlignment="1">
      <alignment horizontal="right" vertical="center"/>
    </xf>
    <xf numFmtId="171" fontId="26" fillId="0" borderId="1" xfId="1" applyNumberFormat="1" applyFont="1" applyFill="1" applyBorder="1" applyAlignment="1">
      <alignment horizontal="right" vertical="center"/>
    </xf>
    <xf numFmtId="3" fontId="22" fillId="5" borderId="0" xfId="4" applyNumberFormat="1" applyFont="1" applyFill="1" applyAlignment="1">
      <alignment horizontal="right"/>
    </xf>
    <xf numFmtId="4" fontId="22" fillId="5" borderId="0" xfId="4" applyNumberFormat="1" applyFont="1" applyFill="1" applyAlignment="1">
      <alignment horizontal="right"/>
    </xf>
    <xf numFmtId="169" fontId="22" fillId="5" borderId="0" xfId="4" applyNumberFormat="1" applyFont="1" applyFill="1" applyAlignment="1">
      <alignment horizontal="right"/>
    </xf>
    <xf numFmtId="3" fontId="22" fillId="5" borderId="2" xfId="4" applyNumberFormat="1" applyFont="1" applyFill="1" applyBorder="1" applyAlignment="1">
      <alignment horizontal="right"/>
    </xf>
    <xf numFmtId="0" fontId="0" fillId="0" borderId="0" xfId="0" applyAlignment="1">
      <alignment vertical="center" wrapText="1"/>
    </xf>
    <xf numFmtId="0" fontId="0" fillId="0" borderId="0" xfId="0" applyAlignment="1">
      <alignment horizontal="left" vertical="center" wrapText="1"/>
    </xf>
    <xf numFmtId="0" fontId="5" fillId="0" borderId="0" xfId="0" quotePrefix="1" applyFont="1" applyAlignment="1">
      <alignment horizontal="left" vertical="center" wrapText="1"/>
    </xf>
    <xf numFmtId="3" fontId="24" fillId="0" borderId="11" xfId="3" applyNumberFormat="1" applyFont="1" applyBorder="1" applyAlignment="1">
      <alignment horizontal="left"/>
    </xf>
    <xf numFmtId="3" fontId="15" fillId="0" borderId="12" xfId="3" applyNumberFormat="1" applyFont="1" applyBorder="1"/>
    <xf numFmtId="3" fontId="15" fillId="0" borderId="13" xfId="3" applyNumberFormat="1" applyFont="1" applyBorder="1"/>
    <xf numFmtId="3" fontId="15" fillId="0" borderId="14" xfId="3" applyNumberFormat="1" applyFont="1" applyBorder="1" applyAlignment="1">
      <alignment horizontal="left"/>
    </xf>
    <xf numFmtId="3" fontId="15" fillId="0" borderId="0" xfId="3" applyNumberFormat="1" applyFont="1"/>
    <xf numFmtId="3" fontId="15" fillId="0" borderId="15" xfId="3" applyNumberFormat="1" applyFont="1" applyBorder="1"/>
    <xf numFmtId="3" fontId="15" fillId="0" borderId="16" xfId="3" applyNumberFormat="1" applyFont="1" applyBorder="1" applyAlignment="1">
      <alignment horizontal="left"/>
    </xf>
    <xf numFmtId="3" fontId="15" fillId="0" borderId="17" xfId="3" applyNumberFormat="1" applyFont="1" applyBorder="1" applyAlignment="1">
      <alignment horizontal="left"/>
    </xf>
    <xf numFmtId="0" fontId="0" fillId="0" borderId="16" xfId="0" applyBorder="1"/>
    <xf numFmtId="0" fontId="0" fillId="0" borderId="18" xfId="0" applyBorder="1"/>
    <xf numFmtId="0" fontId="0" fillId="0" borderId="17" xfId="0" applyBorder="1"/>
    <xf numFmtId="165" fontId="15" fillId="0" borderId="16" xfId="3" applyNumberFormat="1" applyFont="1" applyBorder="1" applyAlignment="1">
      <alignment horizontal="left"/>
    </xf>
    <xf numFmtId="165" fontId="15" fillId="0" borderId="17" xfId="3" applyNumberFormat="1" applyFont="1" applyBorder="1" applyAlignment="1">
      <alignment horizontal="left"/>
    </xf>
    <xf numFmtId="170" fontId="15" fillId="0" borderId="0" xfId="3" applyNumberFormat="1" applyFont="1"/>
    <xf numFmtId="4" fontId="15" fillId="0" borderId="0" xfId="3" applyNumberFormat="1" applyFont="1"/>
    <xf numFmtId="3" fontId="15" fillId="0" borderId="12" xfId="3" applyNumberFormat="1" applyFont="1" applyBorder="1" applyAlignment="1">
      <alignment vertical="center"/>
    </xf>
    <xf numFmtId="3" fontId="15" fillId="0" borderId="13" xfId="3" applyNumberFormat="1" applyFont="1" applyBorder="1" applyAlignment="1">
      <alignment vertical="center"/>
    </xf>
    <xf numFmtId="3" fontId="39" fillId="0" borderId="14" xfId="3" applyNumberFormat="1" applyFont="1" applyBorder="1" applyAlignment="1">
      <alignment horizontal="right"/>
    </xf>
    <xf numFmtId="3" fontId="39" fillId="0" borderId="0" xfId="3" applyNumberFormat="1" applyFont="1" applyAlignment="1">
      <alignment horizontal="right"/>
    </xf>
    <xf numFmtId="3" fontId="43" fillId="0" borderId="14" xfId="3" applyNumberFormat="1" applyFont="1" applyBorder="1"/>
    <xf numFmtId="3" fontId="43" fillId="0" borderId="0" xfId="3" applyNumberFormat="1" applyFont="1"/>
    <xf numFmtId="3" fontId="45" fillId="0" borderId="15" xfId="3" applyNumberFormat="1" applyFont="1" applyBorder="1" applyAlignment="1">
      <alignment horizontal="left"/>
    </xf>
    <xf numFmtId="3" fontId="18" fillId="0" borderId="15" xfId="3" applyNumberFormat="1" applyFont="1" applyBorder="1"/>
    <xf numFmtId="3" fontId="44" fillId="0" borderId="14" xfId="1" applyNumberFormat="1" applyFont="1" applyFill="1" applyBorder="1" applyAlignment="1" applyProtection="1">
      <alignment horizontal="right" vertical="center"/>
    </xf>
    <xf numFmtId="3" fontId="44" fillId="0" borderId="0" xfId="1" applyNumberFormat="1" applyFont="1" applyFill="1" applyBorder="1" applyAlignment="1" applyProtection="1">
      <alignment horizontal="right" vertical="center"/>
    </xf>
    <xf numFmtId="3" fontId="20" fillId="0" borderId="14" xfId="3" applyNumberFormat="1" applyFont="1" applyBorder="1"/>
    <xf numFmtId="3" fontId="20" fillId="0" borderId="15" xfId="3" applyNumberFormat="1" applyFont="1" applyBorder="1"/>
    <xf numFmtId="3" fontId="44" fillId="0" borderId="20" xfId="1" applyNumberFormat="1" applyFont="1" applyFill="1" applyBorder="1" applyAlignment="1" applyProtection="1">
      <alignment horizontal="right" vertical="center"/>
    </xf>
    <xf numFmtId="3" fontId="44" fillId="0" borderId="21" xfId="1" applyNumberFormat="1" applyFont="1" applyFill="1" applyBorder="1" applyAlignment="1" applyProtection="1">
      <alignment horizontal="right" vertical="center"/>
    </xf>
    <xf numFmtId="3" fontId="20" fillId="0" borderId="22" xfId="3" applyNumberFormat="1" applyFont="1" applyBorder="1"/>
    <xf numFmtId="0" fontId="5" fillId="0" borderId="23" xfId="0" applyFont="1" applyBorder="1" applyAlignment="1">
      <alignment vertical="center"/>
    </xf>
    <xf numFmtId="0" fontId="26" fillId="0" borderId="0" xfId="0" applyFont="1" applyAlignment="1">
      <alignment vertical="center" wrapText="1"/>
    </xf>
    <xf numFmtId="0" fontId="26" fillId="0" borderId="0" xfId="0" quotePrefix="1" applyFont="1" applyAlignment="1">
      <alignment horizontal="left" vertical="center" wrapText="1"/>
    </xf>
    <xf numFmtId="0" fontId="26" fillId="0" borderId="0" xfId="0" applyFont="1" applyAlignment="1">
      <alignment horizontal="left" vertical="center" wrapText="1"/>
    </xf>
    <xf numFmtId="0" fontId="9" fillId="0" borderId="1" xfId="0" applyFont="1" applyBorder="1" applyAlignment="1">
      <alignment horizontal="center" vertical="center"/>
    </xf>
    <xf numFmtId="0" fontId="0" fillId="0" borderId="1" xfId="0" applyBorder="1" applyAlignment="1">
      <alignment horizontal="center" vertical="center"/>
    </xf>
    <xf numFmtId="3" fontId="15" fillId="4" borderId="1" xfId="3" applyNumberFormat="1" applyFont="1" applyFill="1" applyBorder="1" applyAlignment="1" applyProtection="1">
      <alignment horizontal="center"/>
      <protection locked="0"/>
    </xf>
    <xf numFmtId="171" fontId="12" fillId="0" borderId="1" xfId="1" applyNumberFormat="1" applyFont="1" applyFill="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lignment vertical="center" wrapText="1"/>
    </xf>
    <xf numFmtId="0" fontId="54" fillId="0" borderId="0" xfId="0" applyFont="1" applyAlignment="1">
      <alignment vertical="center"/>
    </xf>
    <xf numFmtId="0" fontId="56" fillId="0" borderId="0" xfId="0" applyFont="1" applyAlignment="1">
      <alignment vertical="center"/>
    </xf>
    <xf numFmtId="3" fontId="11" fillId="0" borderId="0" xfId="3" applyNumberFormat="1" applyFont="1"/>
    <xf numFmtId="0" fontId="58" fillId="0" borderId="0" xfId="0" applyFont="1" applyAlignment="1">
      <alignment horizontal="left" vertical="center"/>
    </xf>
    <xf numFmtId="3" fontId="6" fillId="0" borderId="0" xfId="3" applyNumberFormat="1" applyFont="1"/>
    <xf numFmtId="3" fontId="6" fillId="0" borderId="0" xfId="3" applyNumberFormat="1" applyFont="1" applyAlignment="1">
      <alignment horizontal="left"/>
    </xf>
    <xf numFmtId="3" fontId="6" fillId="2" borderId="0" xfId="3" applyNumberFormat="1" applyFont="1" applyFill="1" applyAlignment="1">
      <alignment horizontal="left"/>
    </xf>
    <xf numFmtId="3" fontId="6" fillId="2" borderId="0" xfId="3" applyNumberFormat="1" applyFont="1" applyFill="1"/>
    <xf numFmtId="3" fontId="13" fillId="0" borderId="0" xfId="3" applyNumberFormat="1" applyFont="1" applyAlignment="1">
      <alignment horizontal="left"/>
    </xf>
    <xf numFmtId="3" fontId="38" fillId="0" borderId="0" xfId="3" applyNumberFormat="1" applyFont="1" applyAlignment="1">
      <alignment horizontal="left"/>
    </xf>
    <xf numFmtId="3" fontId="13" fillId="0" borderId="0" xfId="3" applyNumberFormat="1" applyFont="1"/>
    <xf numFmtId="3" fontId="13" fillId="0" borderId="0" xfId="3" quotePrefix="1" applyNumberFormat="1" applyFont="1" applyAlignment="1">
      <alignment horizontal="left"/>
    </xf>
    <xf numFmtId="3" fontId="38" fillId="0" borderId="0" xfId="3" quotePrefix="1" applyNumberFormat="1" applyFont="1" applyAlignment="1">
      <alignment horizontal="left"/>
    </xf>
    <xf numFmtId="3" fontId="48" fillId="0" borderId="0" xfId="3" applyNumberFormat="1" applyFont="1" applyAlignment="1">
      <alignment horizontal="left"/>
    </xf>
    <xf numFmtId="3" fontId="6" fillId="0" borderId="0" xfId="3" applyNumberFormat="1" applyFont="1" applyAlignment="1">
      <alignment horizontal="right"/>
    </xf>
    <xf numFmtId="3" fontId="14" fillId="0" borderId="0" xfId="3" applyNumberFormat="1" applyFont="1"/>
    <xf numFmtId="3" fontId="15" fillId="0" borderId="0" xfId="3" applyNumberFormat="1" applyFont="1" applyAlignment="1">
      <alignment horizontal="left"/>
    </xf>
    <xf numFmtId="3" fontId="14" fillId="0" borderId="0" xfId="3" applyNumberFormat="1" applyFont="1" applyAlignment="1">
      <alignment horizontal="left"/>
    </xf>
    <xf numFmtId="3" fontId="39" fillId="0" borderId="0" xfId="3" applyNumberFormat="1" applyFont="1"/>
    <xf numFmtId="3" fontId="14" fillId="0" borderId="24" xfId="3" applyNumberFormat="1" applyFont="1" applyBorder="1" applyAlignment="1">
      <alignment vertical="center"/>
    </xf>
    <xf numFmtId="3" fontId="15" fillId="0" borderId="25" xfId="3" quotePrefix="1" applyNumberFormat="1" applyFont="1" applyBorder="1" applyAlignment="1">
      <alignment horizontal="left" vertical="center"/>
    </xf>
    <xf numFmtId="3" fontId="15" fillId="0" borderId="25" xfId="3" applyNumberFormat="1" applyFont="1" applyBorder="1" applyAlignment="1">
      <alignment vertical="center"/>
    </xf>
    <xf numFmtId="3" fontId="15" fillId="0" borderId="25" xfId="3" applyNumberFormat="1" applyFont="1" applyBorder="1" applyAlignment="1">
      <alignment horizontal="left" vertical="center"/>
    </xf>
    <xf numFmtId="3" fontId="14" fillId="0" borderId="25" xfId="3" applyNumberFormat="1" applyFont="1" applyBorder="1" applyAlignment="1">
      <alignment horizontal="left" vertical="center"/>
    </xf>
    <xf numFmtId="3" fontId="15" fillId="9" borderId="25" xfId="3" applyNumberFormat="1" applyFont="1" applyFill="1" applyBorder="1" applyAlignment="1">
      <alignment horizontal="center" vertical="center"/>
    </xf>
    <xf numFmtId="3" fontId="15" fillId="10" borderId="25" xfId="3" applyNumberFormat="1" applyFont="1" applyFill="1" applyBorder="1" applyAlignment="1">
      <alignment horizontal="center" vertical="center"/>
    </xf>
    <xf numFmtId="3" fontId="15" fillId="0" borderId="25" xfId="3" applyNumberFormat="1" applyFont="1" applyBorder="1" applyAlignment="1">
      <alignment horizontal="center" vertical="center"/>
    </xf>
    <xf numFmtId="3" fontId="15" fillId="0" borderId="24" xfId="3" applyNumberFormat="1" applyFont="1" applyBorder="1" applyAlignment="1">
      <alignment horizontal="left" vertical="center"/>
    </xf>
    <xf numFmtId="3" fontId="15" fillId="0" borderId="26" xfId="3" applyNumberFormat="1" applyFont="1" applyBorder="1" applyAlignment="1">
      <alignment vertical="center"/>
    </xf>
    <xf numFmtId="3" fontId="15" fillId="0" borderId="24" xfId="3" quotePrefix="1" applyNumberFormat="1" applyFont="1" applyBorder="1" applyAlignment="1">
      <alignment horizontal="right" vertical="center"/>
    </xf>
    <xf numFmtId="3" fontId="39" fillId="0" borderId="0" xfId="3" applyNumberFormat="1" applyFont="1" applyAlignment="1">
      <alignment vertical="center"/>
    </xf>
    <xf numFmtId="3" fontId="15" fillId="0" borderId="0" xfId="3" applyNumberFormat="1" applyFont="1" applyAlignment="1">
      <alignment vertical="center"/>
    </xf>
    <xf numFmtId="3" fontId="14" fillId="0" borderId="27" xfId="3" applyNumberFormat="1" applyFont="1" applyBorder="1" applyAlignment="1">
      <alignment vertical="center"/>
    </xf>
    <xf numFmtId="3" fontId="15" fillId="0" borderId="28" xfId="3" applyNumberFormat="1" applyFont="1" applyBorder="1" applyAlignment="1">
      <alignment horizontal="left" vertical="center"/>
    </xf>
    <xf numFmtId="3" fontId="15" fillId="0" borderId="28" xfId="3" applyNumberFormat="1" applyFont="1" applyBorder="1" applyAlignment="1">
      <alignment horizontal="right" vertical="center"/>
    </xf>
    <xf numFmtId="3" fontId="15" fillId="0" borderId="28" xfId="3" quotePrefix="1" applyNumberFormat="1" applyFont="1" applyBorder="1" applyAlignment="1">
      <alignment horizontal="center" vertical="center"/>
    </xf>
    <xf numFmtId="3" fontId="39" fillId="0" borderId="28" xfId="3" quotePrefix="1" applyNumberFormat="1" applyFont="1" applyBorder="1" applyAlignment="1">
      <alignment horizontal="center" vertical="center"/>
    </xf>
    <xf numFmtId="3" fontId="15" fillId="0" borderId="28" xfId="3" applyNumberFormat="1" applyFont="1" applyBorder="1" applyAlignment="1">
      <alignment horizontal="center" vertical="center"/>
    </xf>
    <xf numFmtId="171" fontId="12" fillId="0" borderId="27" xfId="1" applyNumberFormat="1" applyFont="1" applyFill="1" applyBorder="1" applyAlignment="1" applyProtection="1">
      <alignment horizontal="center" vertical="center"/>
    </xf>
    <xf numFmtId="171" fontId="12" fillId="0" borderId="29" xfId="1" applyNumberFormat="1" applyFont="1" applyFill="1" applyBorder="1" applyAlignment="1" applyProtection="1">
      <alignment horizontal="center" vertical="center"/>
    </xf>
    <xf numFmtId="171" fontId="12" fillId="0" borderId="27" xfId="1" applyNumberFormat="1" applyFont="1" applyFill="1" applyBorder="1" applyAlignment="1" applyProtection="1">
      <alignment horizontal="right" vertical="center"/>
    </xf>
    <xf numFmtId="171" fontId="12" fillId="0" borderId="28" xfId="1" applyNumberFormat="1" applyFont="1" applyFill="1" applyBorder="1" applyAlignment="1" applyProtection="1">
      <alignment horizontal="right" vertical="center"/>
    </xf>
    <xf numFmtId="3" fontId="14" fillId="0" borderId="24" xfId="3" applyNumberFormat="1" applyFont="1" applyBorder="1"/>
    <xf numFmtId="3" fontId="15" fillId="0" borderId="25" xfId="3" applyNumberFormat="1" applyFont="1" applyBorder="1"/>
    <xf numFmtId="3" fontId="15" fillId="0" borderId="25" xfId="3" applyNumberFormat="1" applyFont="1" applyBorder="1" applyAlignment="1">
      <alignment horizontal="center"/>
    </xf>
    <xf numFmtId="3" fontId="15" fillId="0" borderId="25" xfId="3" applyNumberFormat="1" applyFont="1" applyBorder="1" applyAlignment="1">
      <alignment horizontal="left"/>
    </xf>
    <xf numFmtId="3" fontId="17" fillId="0" borderId="25" xfId="3" quotePrefix="1" applyNumberFormat="1" applyFont="1" applyBorder="1" applyAlignment="1">
      <alignment horizontal="right"/>
    </xf>
    <xf numFmtId="3" fontId="40" fillId="0" borderId="25" xfId="3" quotePrefix="1" applyNumberFormat="1" applyFont="1" applyBorder="1" applyAlignment="1">
      <alignment horizontal="right"/>
    </xf>
    <xf numFmtId="171" fontId="12" fillId="0" borderId="24" xfId="1" applyNumberFormat="1" applyFont="1" applyFill="1" applyBorder="1" applyAlignment="1" applyProtection="1">
      <alignment horizontal="right" vertical="center"/>
    </xf>
    <xf numFmtId="171" fontId="12" fillId="0" borderId="26" xfId="1" applyNumberFormat="1" applyFont="1" applyFill="1" applyBorder="1" applyAlignment="1" applyProtection="1">
      <alignment horizontal="right" vertical="center"/>
    </xf>
    <xf numFmtId="3" fontId="18" fillId="0" borderId="24" xfId="3" applyNumberFormat="1" applyFont="1" applyBorder="1" applyAlignment="1">
      <alignment horizontal="right"/>
    </xf>
    <xf numFmtId="3" fontId="18" fillId="0" borderId="25" xfId="3" applyNumberFormat="1" applyFont="1" applyBorder="1" applyAlignment="1">
      <alignment horizontal="right"/>
    </xf>
    <xf numFmtId="3" fontId="14" fillId="0" borderId="30" xfId="3" applyNumberFormat="1" applyFont="1" applyBorder="1"/>
    <xf numFmtId="3" fontId="18" fillId="0" borderId="0" xfId="3" applyNumberFormat="1" applyFont="1" applyAlignment="1">
      <alignment horizontal="left"/>
    </xf>
    <xf numFmtId="3" fontId="18" fillId="0" borderId="31" xfId="3" applyNumberFormat="1" applyFont="1" applyBorder="1"/>
    <xf numFmtId="171" fontId="12" fillId="0" borderId="0" xfId="1" applyNumberFormat="1" applyFont="1" applyFill="1" applyBorder="1" applyAlignment="1" applyProtection="1">
      <alignment horizontal="right" vertical="center"/>
    </xf>
    <xf numFmtId="3" fontId="15" fillId="0" borderId="0" xfId="3" applyNumberFormat="1" applyFont="1" applyAlignment="1">
      <alignment horizontal="center"/>
    </xf>
    <xf numFmtId="171" fontId="12" fillId="0" borderId="31" xfId="1" applyNumberFormat="1" applyFont="1" applyFill="1" applyBorder="1" applyAlignment="1" applyProtection="1">
      <alignment horizontal="left" vertical="center"/>
    </xf>
    <xf numFmtId="171" fontId="12" fillId="0" borderId="0" xfId="1" applyNumberFormat="1" applyFont="1" applyFill="1" applyBorder="1" applyAlignment="1" applyProtection="1">
      <alignment horizontal="left" vertical="center"/>
    </xf>
    <xf numFmtId="171" fontId="39" fillId="0" borderId="32" xfId="1" applyNumberFormat="1" applyFont="1" applyFill="1" applyBorder="1" applyAlignment="1" applyProtection="1">
      <alignment horizontal="left" vertical="center"/>
    </xf>
    <xf numFmtId="171" fontId="12" fillId="0" borderId="30" xfId="1" applyNumberFormat="1" applyFont="1" applyFill="1" applyBorder="1" applyAlignment="1" applyProtection="1">
      <alignment horizontal="right" vertical="center"/>
    </xf>
    <xf numFmtId="3" fontId="31" fillId="0" borderId="0" xfId="3" applyNumberFormat="1" applyFont="1" applyAlignment="1">
      <alignment horizontal="right"/>
    </xf>
    <xf numFmtId="3" fontId="18" fillId="0" borderId="34" xfId="3" applyNumberFormat="1" applyFont="1" applyBorder="1"/>
    <xf numFmtId="171" fontId="12" fillId="0" borderId="33" xfId="1" applyNumberFormat="1" applyFont="1" applyFill="1" applyBorder="1" applyAlignment="1" applyProtection="1">
      <alignment horizontal="right" vertical="center"/>
    </xf>
    <xf numFmtId="3" fontId="18" fillId="0" borderId="0" xfId="3" applyNumberFormat="1" applyFont="1"/>
    <xf numFmtId="171" fontId="39" fillId="0" borderId="35" xfId="1" applyNumberFormat="1" applyFont="1" applyFill="1" applyBorder="1" applyAlignment="1" applyProtection="1">
      <alignment horizontal="right" vertical="center"/>
    </xf>
    <xf numFmtId="3" fontId="14" fillId="0" borderId="27" xfId="3" applyNumberFormat="1" applyFont="1" applyBorder="1"/>
    <xf numFmtId="3" fontId="14" fillId="0" borderId="28" xfId="3" applyNumberFormat="1" applyFont="1" applyBorder="1" applyAlignment="1">
      <alignment horizontal="left"/>
    </xf>
    <xf numFmtId="3" fontId="15" fillId="0" borderId="28" xfId="3" applyNumberFormat="1" applyFont="1" applyBorder="1"/>
    <xf numFmtId="171" fontId="14" fillId="0" borderId="36" xfId="1" applyNumberFormat="1" applyFont="1" applyFill="1" applyBorder="1" applyAlignment="1" applyProtection="1">
      <alignment horizontal="right" vertical="center"/>
    </xf>
    <xf numFmtId="171" fontId="41" fillId="0" borderId="37" xfId="1" applyNumberFormat="1" applyFont="1" applyFill="1" applyBorder="1" applyAlignment="1" applyProtection="1">
      <alignment horizontal="right" vertical="center"/>
    </xf>
    <xf numFmtId="171" fontId="14" fillId="0" borderId="38" xfId="1" applyNumberFormat="1" applyFont="1" applyFill="1" applyBorder="1" applyAlignment="1" applyProtection="1">
      <alignment horizontal="right" vertical="center"/>
    </xf>
    <xf numFmtId="171" fontId="14" fillId="0" borderId="28" xfId="1" applyNumberFormat="1" applyFont="1" applyFill="1" applyBorder="1" applyAlignment="1" applyProtection="1">
      <alignment horizontal="right" vertical="center"/>
    </xf>
    <xf numFmtId="171" fontId="12" fillId="0" borderId="29" xfId="1" applyNumberFormat="1" applyFont="1" applyFill="1" applyBorder="1" applyAlignment="1" applyProtection="1">
      <alignment horizontal="right" vertical="center"/>
    </xf>
    <xf numFmtId="171" fontId="14" fillId="0" borderId="19" xfId="1" applyNumberFormat="1" applyFont="1" applyFill="1" applyBorder="1" applyAlignment="1" applyProtection="1">
      <alignment horizontal="right" vertical="center"/>
    </xf>
    <xf numFmtId="3" fontId="14" fillId="0" borderId="25" xfId="3" applyNumberFormat="1" applyFont="1" applyBorder="1" applyAlignment="1">
      <alignment horizontal="left"/>
    </xf>
    <xf numFmtId="171" fontId="39" fillId="0" borderId="0" xfId="1" applyNumberFormat="1" applyFont="1" applyFill="1" applyBorder="1" applyAlignment="1" applyProtection="1">
      <alignment horizontal="right" vertical="center"/>
    </xf>
    <xf numFmtId="9" fontId="19" fillId="0" borderId="24" xfId="1" applyNumberFormat="1" applyFont="1" applyFill="1" applyBorder="1" applyAlignment="1" applyProtection="1">
      <alignment horizontal="center" vertical="center"/>
    </xf>
    <xf numFmtId="9" fontId="19" fillId="0" borderId="0" xfId="1" applyNumberFormat="1" applyFont="1" applyFill="1" applyBorder="1" applyAlignment="1" applyProtection="1">
      <alignment horizontal="center" vertical="center"/>
    </xf>
    <xf numFmtId="171" fontId="11" fillId="0" borderId="24" xfId="1" applyNumberFormat="1" applyFont="1" applyFill="1" applyBorder="1" applyAlignment="1" applyProtection="1">
      <alignment horizontal="center" vertical="center"/>
    </xf>
    <xf numFmtId="171" fontId="11" fillId="0" borderId="25" xfId="1" applyNumberFormat="1" applyFont="1" applyFill="1" applyBorder="1" applyAlignment="1" applyProtection="1">
      <alignment horizontal="center" vertical="center"/>
    </xf>
    <xf numFmtId="3" fontId="42" fillId="0" borderId="0" xfId="3" applyNumberFormat="1" applyFont="1"/>
    <xf numFmtId="3" fontId="20" fillId="0" borderId="0" xfId="3" applyNumberFormat="1" applyFont="1"/>
    <xf numFmtId="171" fontId="39" fillId="0" borderId="39" xfId="1" applyNumberFormat="1" applyFont="1" applyFill="1" applyBorder="1" applyAlignment="1" applyProtection="1">
      <alignment horizontal="right" vertical="center"/>
    </xf>
    <xf numFmtId="171" fontId="12" fillId="0" borderId="40" xfId="1" applyNumberFormat="1" applyFont="1" applyFill="1" applyBorder="1" applyAlignment="1" applyProtection="1">
      <alignment horizontal="right" vertical="center"/>
    </xf>
    <xf numFmtId="3" fontId="15" fillId="0" borderId="28" xfId="3" applyNumberFormat="1" applyFont="1" applyBorder="1" applyAlignment="1">
      <alignment horizontal="left"/>
    </xf>
    <xf numFmtId="171" fontId="14" fillId="0" borderId="41" xfId="1" applyNumberFormat="1" applyFont="1" applyFill="1" applyBorder="1" applyAlignment="1" applyProtection="1">
      <alignment horizontal="right" vertical="center"/>
    </xf>
    <xf numFmtId="171" fontId="12" fillId="0" borderId="42" xfId="1" applyNumberFormat="1" applyFont="1" applyFill="1" applyBorder="1" applyAlignment="1" applyProtection="1">
      <alignment horizontal="right" vertical="center"/>
    </xf>
    <xf numFmtId="171" fontId="12" fillId="0" borderId="41" xfId="1" applyNumberFormat="1" applyFont="1" applyFill="1" applyBorder="1" applyAlignment="1" applyProtection="1">
      <alignment horizontal="right" vertical="center"/>
    </xf>
    <xf numFmtId="171" fontId="14" fillId="0" borderId="42" xfId="1" applyNumberFormat="1" applyFont="1" applyFill="1" applyBorder="1" applyAlignment="1" applyProtection="1">
      <alignment horizontal="right" vertical="center"/>
    </xf>
    <xf numFmtId="3" fontId="17" fillId="0" borderId="0" xfId="3" applyNumberFormat="1" applyFont="1"/>
    <xf numFmtId="171" fontId="12" fillId="0" borderId="25" xfId="1" applyNumberFormat="1" applyFont="1" applyFill="1" applyBorder="1" applyAlignment="1" applyProtection="1">
      <alignment horizontal="right" vertical="center"/>
    </xf>
    <xf numFmtId="3" fontId="15" fillId="0" borderId="43" xfId="3" applyNumberFormat="1" applyFont="1" applyBorder="1" applyAlignment="1">
      <alignment horizontal="right"/>
    </xf>
    <xf numFmtId="3" fontId="14" fillId="0" borderId="0" xfId="3" quotePrefix="1" applyNumberFormat="1" applyFont="1" applyAlignment="1">
      <alignment horizontal="left"/>
    </xf>
    <xf numFmtId="171" fontId="14" fillId="0" borderId="0" xfId="1" applyNumberFormat="1" applyFont="1" applyFill="1" applyBorder="1" applyAlignment="1" applyProtection="1">
      <alignment horizontal="right" vertical="center"/>
    </xf>
    <xf numFmtId="171" fontId="41" fillId="0" borderId="32" xfId="1" applyNumberFormat="1" applyFont="1" applyFill="1" applyBorder="1" applyAlignment="1" applyProtection="1">
      <alignment horizontal="right" vertical="center"/>
    </xf>
    <xf numFmtId="171" fontId="15" fillId="0" borderId="30" xfId="1" applyNumberFormat="1" applyFont="1" applyFill="1" applyBorder="1" applyAlignment="1" applyProtection="1">
      <alignment horizontal="right" vertical="center"/>
    </xf>
    <xf numFmtId="171" fontId="15" fillId="0" borderId="33" xfId="1" applyNumberFormat="1" applyFont="1" applyFill="1" applyBorder="1" applyAlignment="1" applyProtection="1">
      <alignment horizontal="right" vertical="center"/>
    </xf>
    <xf numFmtId="3" fontId="14" fillId="0" borderId="28" xfId="3" quotePrefix="1" applyNumberFormat="1" applyFont="1" applyBorder="1" applyAlignment="1">
      <alignment horizontal="left"/>
    </xf>
    <xf numFmtId="3" fontId="18" fillId="0" borderId="28" xfId="3" applyNumberFormat="1" applyFont="1" applyBorder="1"/>
    <xf numFmtId="171" fontId="41" fillId="0" borderId="28" xfId="1" applyNumberFormat="1" applyFont="1" applyFill="1" applyBorder="1" applyAlignment="1" applyProtection="1">
      <alignment horizontal="right" vertical="center"/>
    </xf>
    <xf numFmtId="171" fontId="14" fillId="0" borderId="27" xfId="1" applyNumberFormat="1" applyFont="1" applyFill="1" applyBorder="1" applyAlignment="1" applyProtection="1">
      <alignment horizontal="right" vertical="center"/>
    </xf>
    <xf numFmtId="171" fontId="14" fillId="0" borderId="29" xfId="1" applyNumberFormat="1" applyFont="1" applyFill="1" applyBorder="1" applyAlignment="1" applyProtection="1">
      <alignment horizontal="right" vertical="center"/>
    </xf>
    <xf numFmtId="171" fontId="41" fillId="0" borderId="0" xfId="1" applyNumberFormat="1" applyFont="1" applyFill="1" applyBorder="1" applyAlignment="1" applyProtection="1">
      <alignment horizontal="right" vertical="center"/>
    </xf>
    <xf numFmtId="3" fontId="25" fillId="0" borderId="0" xfId="3" applyNumberFormat="1" applyFont="1" applyAlignment="1">
      <alignment horizontal="left"/>
    </xf>
    <xf numFmtId="171" fontId="24" fillId="0" borderId="0" xfId="1" applyNumberFormat="1" applyFont="1" applyFill="1" applyBorder="1" applyAlignment="1" applyProtection="1">
      <alignment horizontal="right" vertical="center"/>
    </xf>
    <xf numFmtId="168" fontId="12" fillId="0" borderId="31" xfId="2" quotePrefix="1" applyNumberFormat="1" applyBorder="1" applyAlignment="1">
      <alignment horizontal="center" vertical="center"/>
    </xf>
    <xf numFmtId="0" fontId="12" fillId="0" borderId="0" xfId="2" applyAlignment="1">
      <alignment horizontal="left" vertical="center"/>
    </xf>
    <xf numFmtId="0" fontId="12" fillId="0" borderId="0" xfId="2" quotePrefix="1" applyAlignment="1">
      <alignment horizontal="left" vertical="center"/>
    </xf>
    <xf numFmtId="0" fontId="12" fillId="0" borderId="0" xfId="2" applyAlignment="1">
      <alignment horizontal="centerContinuous" vertical="center"/>
    </xf>
    <xf numFmtId="3" fontId="40" fillId="0" borderId="0" xfId="3" applyNumberFormat="1" applyFont="1"/>
    <xf numFmtId="3" fontId="17" fillId="0" borderId="0" xfId="3" applyNumberFormat="1" applyFont="1" applyAlignment="1">
      <alignment horizontal="right" vertical="top"/>
    </xf>
    <xf numFmtId="168" fontId="12" fillId="0" borderId="0" xfId="2" quotePrefix="1" applyNumberFormat="1" applyAlignment="1">
      <alignment horizontal="center" vertical="center"/>
    </xf>
    <xf numFmtId="0" fontId="21" fillId="0" borderId="0" xfId="2" quotePrefix="1" applyFont="1" applyAlignment="1">
      <alignment horizontal="center" vertical="center"/>
    </xf>
    <xf numFmtId="3" fontId="17" fillId="0" borderId="0" xfId="3" applyNumberFormat="1" applyFont="1" applyAlignment="1">
      <alignment horizontal="left"/>
    </xf>
    <xf numFmtId="0" fontId="15" fillId="0" borderId="0" xfId="2" quotePrefix="1" applyFont="1" applyAlignment="1">
      <alignment horizontal="center" vertical="center"/>
    </xf>
    <xf numFmtId="3" fontId="14" fillId="0" borderId="44" xfId="3" applyNumberFormat="1" applyFont="1" applyBorder="1"/>
    <xf numFmtId="3" fontId="15" fillId="0" borderId="45" xfId="3" applyNumberFormat="1" applyFont="1" applyBorder="1" applyAlignment="1">
      <alignment horizontal="left"/>
    </xf>
    <xf numFmtId="3" fontId="15" fillId="0" borderId="45" xfId="3" applyNumberFormat="1" applyFont="1" applyBorder="1"/>
    <xf numFmtId="3" fontId="15" fillId="0" borderId="44" xfId="3" applyNumberFormat="1" applyFont="1" applyBorder="1" applyAlignment="1">
      <alignment horizontal="left"/>
    </xf>
    <xf numFmtId="3" fontId="15" fillId="0" borderId="44" xfId="3" applyNumberFormat="1" applyFont="1" applyBorder="1"/>
    <xf numFmtId="171" fontId="15" fillId="0" borderId="45" xfId="1" applyNumberFormat="1" applyFont="1" applyFill="1" applyBorder="1" applyAlignment="1" applyProtection="1">
      <alignment horizontal="right" vertical="center"/>
    </xf>
    <xf numFmtId="3" fontId="17" fillId="0" borderId="44" xfId="3" applyNumberFormat="1" applyFont="1" applyBorder="1" applyAlignment="1">
      <alignment horizontal="left"/>
    </xf>
    <xf numFmtId="3" fontId="15" fillId="0" borderId="46" xfId="3" applyNumberFormat="1" applyFont="1" applyBorder="1"/>
    <xf numFmtId="171" fontId="12" fillId="0" borderId="46" xfId="1" applyNumberFormat="1" applyFont="1" applyFill="1" applyBorder="1" applyAlignment="1" applyProtection="1">
      <alignment horizontal="right" vertical="center"/>
    </xf>
    <xf numFmtId="171" fontId="12" fillId="0" borderId="45" xfId="1" applyNumberFormat="1" applyFont="1" applyFill="1" applyBorder="1" applyAlignment="1" applyProtection="1">
      <alignment horizontal="right" vertical="center"/>
    </xf>
    <xf numFmtId="171" fontId="15" fillId="0" borderId="46" xfId="2" quotePrefix="1" applyNumberFormat="1" applyFont="1" applyBorder="1" applyAlignment="1">
      <alignment horizontal="center" vertical="center"/>
    </xf>
    <xf numFmtId="0" fontId="15" fillId="0" borderId="45" xfId="2" quotePrefix="1" applyFont="1" applyBorder="1" applyAlignment="1">
      <alignment horizontal="left" vertical="center"/>
    </xf>
    <xf numFmtId="168" fontId="12" fillId="0" borderId="45" xfId="2" quotePrefix="1" applyNumberFormat="1" applyBorder="1" applyAlignment="1">
      <alignment horizontal="center" vertical="center"/>
    </xf>
    <xf numFmtId="0" fontId="12" fillId="0" borderId="45" xfId="2" applyBorder="1" applyAlignment="1">
      <alignment horizontal="left" vertical="center"/>
    </xf>
    <xf numFmtId="166" fontId="21" fillId="0" borderId="47" xfId="2" applyNumberFormat="1" applyFont="1" applyBorder="1" applyAlignment="1">
      <alignment horizontal="center" vertical="center"/>
    </xf>
    <xf numFmtId="171" fontId="15" fillId="0" borderId="28" xfId="1" applyNumberFormat="1" applyFont="1" applyFill="1" applyBorder="1" applyAlignment="1" applyProtection="1">
      <alignment horizontal="right" vertical="center"/>
    </xf>
    <xf numFmtId="171" fontId="39" fillId="0" borderId="45" xfId="1" applyNumberFormat="1" applyFont="1" applyFill="1" applyBorder="1" applyAlignment="1" applyProtection="1">
      <alignment horizontal="right" vertical="center"/>
    </xf>
    <xf numFmtId="171" fontId="12" fillId="0" borderId="44" xfId="1" applyNumberFormat="1" applyFont="1" applyFill="1" applyBorder="1" applyAlignment="1" applyProtection="1">
      <alignment horizontal="right" vertical="center"/>
    </xf>
    <xf numFmtId="171" fontId="15" fillId="0" borderId="46" xfId="1" applyNumberFormat="1" applyFont="1" applyFill="1" applyBorder="1" applyAlignment="1" applyProtection="1">
      <alignment horizontal="right" vertical="center"/>
    </xf>
    <xf numFmtId="171" fontId="15" fillId="0" borderId="44" xfId="1" applyNumberFormat="1" applyFont="1" applyFill="1" applyBorder="1" applyAlignment="1" applyProtection="1">
      <alignment horizontal="right" vertical="center"/>
    </xf>
    <xf numFmtId="3" fontId="49" fillId="0" borderId="44" xfId="3" applyNumberFormat="1" applyFont="1" applyBorder="1"/>
    <xf numFmtId="0" fontId="50" fillId="0" borderId="45" xfId="2" quotePrefix="1" applyFont="1" applyBorder="1" applyAlignment="1">
      <alignment horizontal="left" vertical="center"/>
    </xf>
    <xf numFmtId="168" fontId="50" fillId="0" borderId="45" xfId="2" quotePrefix="1" applyNumberFormat="1" applyFont="1" applyBorder="1" applyAlignment="1">
      <alignment horizontal="center" vertical="center"/>
    </xf>
    <xf numFmtId="0" fontId="50" fillId="0" borderId="45" xfId="2" applyFont="1" applyBorder="1" applyAlignment="1">
      <alignment horizontal="left" vertical="center"/>
    </xf>
    <xf numFmtId="3" fontId="50" fillId="0" borderId="45" xfId="3" applyNumberFormat="1" applyFont="1" applyBorder="1" applyAlignment="1">
      <alignment horizontal="left"/>
    </xf>
    <xf numFmtId="3" fontId="50" fillId="0" borderId="45" xfId="3" applyNumberFormat="1" applyFont="1" applyBorder="1"/>
    <xf numFmtId="167" fontId="50" fillId="0" borderId="47" xfId="2" applyNumberFormat="1" applyFont="1" applyBorder="1" applyAlignment="1">
      <alignment horizontal="center" vertical="center"/>
    </xf>
    <xf numFmtId="171" fontId="50" fillId="0" borderId="28" xfId="1" applyNumberFormat="1" applyFont="1" applyFill="1" applyBorder="1" applyAlignment="1" applyProtection="1">
      <alignment horizontal="right" vertical="center"/>
    </xf>
    <xf numFmtId="171" fontId="50" fillId="0" borderId="45" xfId="1" applyNumberFormat="1" applyFont="1" applyFill="1" applyBorder="1" applyAlignment="1" applyProtection="1">
      <alignment horizontal="right" vertical="center"/>
    </xf>
    <xf numFmtId="171" fontId="50" fillId="0" borderId="44" xfId="1" applyNumberFormat="1" applyFont="1" applyFill="1" applyBorder="1" applyAlignment="1" applyProtection="1">
      <alignment horizontal="right" vertical="center"/>
    </xf>
    <xf numFmtId="171" fontId="50" fillId="0" borderId="46" xfId="1" applyNumberFormat="1" applyFont="1" applyFill="1" applyBorder="1" applyAlignment="1" applyProtection="1">
      <alignment horizontal="right" vertical="center"/>
    </xf>
    <xf numFmtId="3" fontId="50" fillId="0" borderId="44" xfId="3" applyNumberFormat="1" applyFont="1" applyBorder="1"/>
    <xf numFmtId="3" fontId="50" fillId="0" borderId="0" xfId="3" applyNumberFormat="1" applyFont="1"/>
    <xf numFmtId="0" fontId="12" fillId="0" borderId="45" xfId="2" quotePrefix="1" applyBorder="1" applyAlignment="1">
      <alignment horizontal="left" vertical="center"/>
    </xf>
    <xf numFmtId="167" fontId="21" fillId="0" borderId="47" xfId="2" applyNumberFormat="1" applyFont="1" applyBorder="1" applyAlignment="1">
      <alignment horizontal="center" vertical="center"/>
    </xf>
    <xf numFmtId="3" fontId="49" fillId="7" borderId="44" xfId="3" applyNumberFormat="1" applyFont="1" applyFill="1" applyBorder="1"/>
    <xf numFmtId="0" fontId="50" fillId="7" borderId="45" xfId="2" quotePrefix="1" applyFont="1" applyFill="1" applyBorder="1" applyAlignment="1">
      <alignment horizontal="left" vertical="center"/>
    </xf>
    <xf numFmtId="168" fontId="50" fillId="7" borderId="45" xfId="2" quotePrefix="1" applyNumberFormat="1" applyFont="1" applyFill="1" applyBorder="1" applyAlignment="1">
      <alignment horizontal="center" vertical="center"/>
    </xf>
    <xf numFmtId="0" fontId="50" fillId="7" borderId="45" xfId="2" applyFont="1" applyFill="1" applyBorder="1" applyAlignment="1">
      <alignment horizontal="left" vertical="center"/>
    </xf>
    <xf numFmtId="3" fontId="50" fillId="0" borderId="46" xfId="3" applyNumberFormat="1" applyFont="1" applyBorder="1"/>
    <xf numFmtId="171" fontId="49" fillId="7" borderId="46" xfId="1" applyNumberFormat="1" applyFont="1" applyFill="1" applyBorder="1" applyAlignment="1" applyProtection="1">
      <alignment horizontal="right" vertical="center"/>
    </xf>
    <xf numFmtId="3" fontId="14" fillId="7" borderId="44" xfId="3" applyNumberFormat="1" applyFont="1" applyFill="1" applyBorder="1"/>
    <xf numFmtId="0" fontId="12" fillId="7" borderId="45" xfId="2" quotePrefix="1" applyFill="1" applyBorder="1" applyAlignment="1">
      <alignment horizontal="left" vertical="center"/>
    </xf>
    <xf numFmtId="168" fontId="12" fillId="7" borderId="45" xfId="2" quotePrefix="1" applyNumberFormat="1" applyFill="1" applyBorder="1" applyAlignment="1">
      <alignment horizontal="center" vertical="center"/>
    </xf>
    <xf numFmtId="0" fontId="12" fillId="7" borderId="45" xfId="2" applyFill="1" applyBorder="1" applyAlignment="1">
      <alignment horizontal="left" vertical="center"/>
    </xf>
    <xf numFmtId="171" fontId="14" fillId="7" borderId="46" xfId="1" applyNumberFormat="1" applyFont="1" applyFill="1" applyBorder="1" applyAlignment="1" applyProtection="1">
      <alignment horizontal="right" vertical="center"/>
    </xf>
    <xf numFmtId="3" fontId="53" fillId="6" borderId="0" xfId="3" applyNumberFormat="1" applyFont="1" applyFill="1" applyAlignment="1">
      <alignment horizontal="left"/>
    </xf>
    <xf numFmtId="3" fontId="6" fillId="6" borderId="0" xfId="3" applyNumberFormat="1" applyFont="1" applyFill="1"/>
    <xf numFmtId="3" fontId="46" fillId="0" borderId="0" xfId="3" applyNumberFormat="1" applyFont="1" applyAlignment="1">
      <alignment vertical="center"/>
    </xf>
    <xf numFmtId="3" fontId="46" fillId="0" borderId="0" xfId="3" applyNumberFormat="1" applyFont="1"/>
    <xf numFmtId="3" fontId="15" fillId="0" borderId="0" xfId="3" applyNumberFormat="1" applyFont="1" applyAlignment="1">
      <alignment horizontal="right"/>
    </xf>
    <xf numFmtId="165" fontId="15" fillId="0" borderId="0" xfId="3" applyNumberFormat="1" applyFont="1" applyAlignment="1">
      <alignment horizontal="right"/>
    </xf>
    <xf numFmtId="3" fontId="47" fillId="0" borderId="0" xfId="3" applyNumberFormat="1" applyFont="1"/>
    <xf numFmtId="3" fontId="15" fillId="0" borderId="47" xfId="3" applyNumberFormat="1" applyFont="1" applyBorder="1" applyAlignment="1">
      <alignment horizontal="left"/>
    </xf>
    <xf numFmtId="3" fontId="6" fillId="3" borderId="0" xfId="3" applyNumberFormat="1" applyFont="1" applyFill="1" applyAlignment="1">
      <alignment horizontal="left"/>
    </xf>
    <xf numFmtId="3" fontId="6" fillId="3" borderId="0" xfId="3" applyNumberFormat="1" applyFont="1" applyFill="1"/>
    <xf numFmtId="3" fontId="26" fillId="0" borderId="0" xfId="3" applyNumberFormat="1" applyFont="1" applyAlignment="1">
      <alignment horizontal="left"/>
    </xf>
    <xf numFmtId="0" fontId="57" fillId="0" borderId="0" xfId="0" applyFont="1" applyAlignment="1" applyProtection="1">
      <alignment vertical="center"/>
      <protection locked="0"/>
    </xf>
    <xf numFmtId="0" fontId="0" fillId="0" borderId="0" xfId="0" applyAlignment="1" applyProtection="1">
      <alignment vertical="center"/>
      <protection locked="0"/>
    </xf>
    <xf numFmtId="0" fontId="7"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0" fillId="0" borderId="6" xfId="0" applyBorder="1" applyAlignment="1" applyProtection="1">
      <alignment horizontal="center" vertical="center"/>
      <protection locked="0"/>
    </xf>
    <xf numFmtId="0" fontId="0" fillId="0" borderId="0" xfId="0" applyProtection="1">
      <protection locked="0"/>
    </xf>
    <xf numFmtId="0" fontId="51" fillId="0" borderId="0" xfId="0" applyFont="1" applyAlignment="1" applyProtection="1">
      <alignment horizontal="left" vertical="center"/>
      <protection locked="0"/>
    </xf>
    <xf numFmtId="0" fontId="7" fillId="2" borderId="48" xfId="0" applyFont="1" applyFill="1" applyBorder="1" applyAlignment="1" applyProtection="1">
      <alignment horizontal="center" vertical="center"/>
      <protection locked="0"/>
    </xf>
    <xf numFmtId="0" fontId="7" fillId="6" borderId="49" xfId="0" applyFont="1" applyFill="1" applyBorder="1" applyAlignment="1" applyProtection="1">
      <alignment horizontal="center" vertical="center"/>
      <protection locked="0"/>
    </xf>
    <xf numFmtId="0" fontId="8" fillId="3" borderId="50" xfId="0" applyFont="1" applyFill="1" applyBorder="1" applyAlignment="1" applyProtection="1">
      <alignment horizontal="center" vertical="center"/>
      <protection locked="0"/>
    </xf>
    <xf numFmtId="0" fontId="0" fillId="4" borderId="51" xfId="0" applyFill="1" applyBorder="1" applyAlignment="1" applyProtection="1">
      <alignment horizontal="left" vertical="center"/>
      <protection locked="0"/>
    </xf>
    <xf numFmtId="0" fontId="9" fillId="4" borderId="52" xfId="0" applyFont="1"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4" xfId="0" applyFill="1" applyBorder="1" applyAlignment="1" applyProtection="1">
      <alignment horizontal="left" vertical="center"/>
      <protection locked="0"/>
    </xf>
    <xf numFmtId="0" fontId="9" fillId="4" borderId="55" xfId="0" applyFont="1"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xf numFmtId="0" fontId="0" fillId="4" borderId="56" xfId="0" applyFill="1" applyBorder="1" applyAlignment="1" applyProtection="1">
      <alignment horizontal="left" vertical="center"/>
      <protection locked="0"/>
    </xf>
    <xf numFmtId="0" fontId="9" fillId="4" borderId="57" xfId="0" applyFont="1" applyFill="1" applyBorder="1" applyAlignment="1" applyProtection="1">
      <alignment horizontal="center" vertical="center"/>
      <protection locked="0"/>
    </xf>
    <xf numFmtId="0" fontId="0" fillId="4" borderId="56" xfId="0" applyFill="1" applyBorder="1" applyAlignment="1" applyProtection="1">
      <alignment horizontal="center" vertical="center"/>
      <protection locked="0"/>
    </xf>
    <xf numFmtId="0" fontId="0" fillId="4" borderId="58" xfId="0" applyFill="1" applyBorder="1" applyAlignment="1" applyProtection="1">
      <alignment horizontal="left" vertical="center"/>
      <protection locked="0"/>
    </xf>
    <xf numFmtId="0" fontId="9" fillId="4" borderId="59" xfId="0" applyFont="1"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165" fontId="0" fillId="0" borderId="0" xfId="0" applyNumberFormat="1" applyProtection="1">
      <protection locked="0"/>
    </xf>
    <xf numFmtId="0" fontId="55" fillId="0" borderId="0" xfId="0" applyFont="1" applyAlignment="1" applyProtection="1">
      <alignment horizontal="left" vertical="center"/>
      <protection locked="0"/>
    </xf>
    <xf numFmtId="0" fontId="5" fillId="0" borderId="0" xfId="0" applyFont="1" applyProtection="1">
      <protection locked="0"/>
    </xf>
    <xf numFmtId="0" fontId="0" fillId="0" borderId="1" xfId="0" applyBorder="1" applyProtection="1">
      <protection locked="0"/>
    </xf>
    <xf numFmtId="0" fontId="0" fillId="0" borderId="4" xfId="0" applyBorder="1" applyProtection="1">
      <protection locked="0"/>
    </xf>
    <xf numFmtId="3" fontId="0" fillId="4" borderId="1" xfId="0" applyNumberFormat="1" applyFill="1" applyBorder="1" applyAlignment="1" applyProtection="1">
      <alignment horizontal="center" vertical="center"/>
      <protection locked="0"/>
    </xf>
    <xf numFmtId="0" fontId="52" fillId="0" borderId="1" xfId="0" applyFont="1" applyBorder="1" applyProtection="1">
      <protection locked="0"/>
    </xf>
    <xf numFmtId="0" fontId="52" fillId="0" borderId="4" xfId="0" applyFont="1" applyBorder="1" applyProtection="1">
      <protection locked="0"/>
    </xf>
    <xf numFmtId="3" fontId="0" fillId="0" borderId="0" xfId="0" applyNumberFormat="1" applyProtection="1">
      <protection locked="0"/>
    </xf>
    <xf numFmtId="3" fontId="0" fillId="0" borderId="0" xfId="0" applyNumberFormat="1" applyAlignment="1" applyProtection="1">
      <alignment horizontal="center"/>
      <protection locked="0"/>
    </xf>
    <xf numFmtId="0" fontId="11" fillId="0" borderId="0" xfId="0" applyFont="1" applyProtection="1">
      <protection locked="0"/>
    </xf>
    <xf numFmtId="0" fontId="11" fillId="0" borderId="0" xfId="0" applyFont="1"/>
    <xf numFmtId="0" fontId="51"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10" fillId="0" borderId="6" xfId="0" applyFont="1" applyBorder="1" applyAlignment="1">
      <alignment horizontal="center" vertical="center"/>
    </xf>
    <xf numFmtId="0" fontId="0" fillId="0" borderId="1" xfId="0" applyBorder="1" applyAlignment="1">
      <alignment horizontal="left" vertical="center"/>
    </xf>
    <xf numFmtId="0" fontId="0" fillId="0" borderId="60" xfId="0" applyBorder="1" applyProtection="1">
      <protection locked="0"/>
    </xf>
    <xf numFmtId="171" fontId="12" fillId="0" borderId="0" xfId="1" applyNumberFormat="1" applyFont="1" applyFill="1" applyBorder="1" applyAlignment="1" applyProtection="1">
      <alignment horizontal="center" vertical="center"/>
      <protection locked="0"/>
    </xf>
    <xf numFmtId="3" fontId="22" fillId="4" borderId="1" xfId="0" applyNumberFormat="1" applyFont="1" applyFill="1" applyBorder="1" applyAlignment="1" applyProtection="1">
      <alignment horizontal="center" vertical="center"/>
      <protection locked="0"/>
    </xf>
    <xf numFmtId="171" fontId="14" fillId="0" borderId="30" xfId="1" applyNumberFormat="1" applyFont="1" applyFill="1" applyBorder="1" applyAlignment="1" applyProtection="1">
      <alignment horizontal="right" vertical="center"/>
    </xf>
    <xf numFmtId="3" fontId="17" fillId="0" borderId="25" xfId="3" applyNumberFormat="1" applyFont="1" applyBorder="1"/>
    <xf numFmtId="171" fontId="39" fillId="0" borderId="25" xfId="1" applyNumberFormat="1" applyFont="1" applyFill="1" applyBorder="1" applyAlignment="1" applyProtection="1">
      <alignment horizontal="right" vertical="center"/>
    </xf>
    <xf numFmtId="9" fontId="19" fillId="0" borderId="25" xfId="1" applyNumberFormat="1" applyFont="1" applyFill="1" applyBorder="1" applyAlignment="1" applyProtection="1">
      <alignment horizontal="center" vertical="center"/>
    </xf>
    <xf numFmtId="3" fontId="15" fillId="11" borderId="0" xfId="3" applyNumberFormat="1" applyFont="1" applyFill="1"/>
    <xf numFmtId="3" fontId="26" fillId="4" borderId="1" xfId="0" applyNumberFormat="1" applyFont="1" applyFill="1" applyBorder="1" applyAlignment="1" applyProtection="1">
      <alignment horizontal="center" vertical="center"/>
      <protection locked="0"/>
    </xf>
    <xf numFmtId="171" fontId="17" fillId="0" borderId="25" xfId="1" applyNumberFormat="1" applyFont="1" applyFill="1" applyBorder="1" applyAlignment="1" applyProtection="1">
      <alignment horizontal="center" vertical="center"/>
    </xf>
    <xf numFmtId="0" fontId="5" fillId="12" borderId="0" xfId="0" applyFont="1" applyFill="1" applyProtection="1">
      <protection locked="0"/>
    </xf>
    <xf numFmtId="0" fontId="0" fillId="12" borderId="0" xfId="0" applyFill="1" applyProtection="1">
      <protection locked="0"/>
    </xf>
    <xf numFmtId="3" fontId="0" fillId="12" borderId="0" xfId="0" applyNumberFormat="1" applyFill="1" applyAlignment="1" applyProtection="1">
      <alignment horizontal="center"/>
      <protection locked="0"/>
    </xf>
    <xf numFmtId="0" fontId="0" fillId="13" borderId="0" xfId="0" applyFill="1" applyProtection="1">
      <protection locked="0"/>
    </xf>
    <xf numFmtId="0" fontId="5" fillId="13" borderId="0" xfId="0" applyFont="1" applyFill="1" applyProtection="1">
      <protection locked="0"/>
    </xf>
    <xf numFmtId="3" fontId="0" fillId="13" borderId="0" xfId="0" applyNumberFormat="1" applyFill="1" applyAlignment="1" applyProtection="1">
      <alignment horizontal="center"/>
      <protection locked="0"/>
    </xf>
    <xf numFmtId="0" fontId="0" fillId="14" borderId="0" xfId="0" applyFill="1" applyProtection="1">
      <protection locked="0"/>
    </xf>
    <xf numFmtId="0" fontId="5" fillId="14" borderId="0" xfId="0" applyFont="1" applyFill="1" applyProtection="1">
      <protection locked="0"/>
    </xf>
    <xf numFmtId="3" fontId="0" fillId="14" borderId="0" xfId="0" applyNumberFormat="1" applyFill="1" applyAlignment="1" applyProtection="1">
      <alignment horizontal="center"/>
      <protection locked="0"/>
    </xf>
    <xf numFmtId="171" fontId="39" fillId="0" borderId="35" xfId="1" applyNumberFormat="1" applyFont="1" applyFill="1" applyBorder="1" applyAlignment="1" applyProtection="1">
      <alignment horizontal="left" vertical="center"/>
    </xf>
    <xf numFmtId="0" fontId="62" fillId="0" borderId="1" xfId="0" applyFont="1" applyBorder="1" applyProtection="1">
      <protection locked="0"/>
    </xf>
    <xf numFmtId="0" fontId="62" fillId="0" borderId="4" xfId="0" applyFont="1" applyBorder="1" applyProtection="1">
      <protection locked="0"/>
    </xf>
    <xf numFmtId="165" fontId="0" fillId="13" borderId="0" xfId="0" applyNumberFormat="1" applyFill="1" applyProtection="1">
      <protection locked="0"/>
    </xf>
    <xf numFmtId="0" fontId="0" fillId="15" borderId="0" xfId="0" applyFill="1" applyProtection="1">
      <protection locked="0"/>
    </xf>
    <xf numFmtId="171" fontId="12" fillId="14" borderId="0" xfId="1" applyNumberFormat="1" applyFont="1" applyFill="1" applyBorder="1" applyAlignment="1" applyProtection="1">
      <alignment horizontal="center" vertical="center"/>
      <protection locked="0"/>
    </xf>
    <xf numFmtId="3" fontId="0" fillId="12" borderId="0" xfId="0" applyNumberFormat="1" applyFill="1" applyProtection="1">
      <protection locked="0"/>
    </xf>
    <xf numFmtId="3" fontId="0" fillId="13" borderId="0" xfId="0" applyNumberFormat="1" applyFill="1" applyProtection="1">
      <protection locked="0"/>
    </xf>
    <xf numFmtId="171" fontId="17" fillId="0" borderId="24" xfId="1" applyNumberFormat="1" applyFont="1" applyFill="1" applyBorder="1" applyAlignment="1" applyProtection="1">
      <alignment horizontal="center" vertical="center"/>
    </xf>
    <xf numFmtId="165" fontId="0" fillId="0" borderId="0" xfId="0" applyNumberFormat="1" applyAlignment="1" applyProtection="1">
      <alignment horizontal="center"/>
      <protection locked="0"/>
    </xf>
    <xf numFmtId="0" fontId="0" fillId="15" borderId="61" xfId="0" applyFill="1" applyBorder="1" applyProtection="1">
      <protection locked="0"/>
    </xf>
    <xf numFmtId="171" fontId="12" fillId="15" borderId="61" xfId="1" applyNumberFormat="1" applyFont="1" applyFill="1" applyBorder="1" applyAlignment="1" applyProtection="1">
      <alignment horizontal="center" vertical="center"/>
      <protection locked="0"/>
    </xf>
    <xf numFmtId="165" fontId="0" fillId="15" borderId="0" xfId="0" applyNumberFormat="1" applyFill="1" applyAlignment="1" applyProtection="1">
      <alignment horizontal="center"/>
      <protection locked="0"/>
    </xf>
    <xf numFmtId="169" fontId="15" fillId="0" borderId="0" xfId="3" applyNumberFormat="1" applyFont="1"/>
    <xf numFmtId="169" fontId="15" fillId="11" borderId="0" xfId="3" applyNumberFormat="1" applyFont="1" applyFill="1"/>
    <xf numFmtId="3" fontId="24" fillId="0" borderId="65" xfId="3" applyNumberFormat="1" applyFont="1" applyBorder="1" applyAlignment="1">
      <alignment horizontal="left"/>
    </xf>
    <xf numFmtId="3" fontId="15" fillId="0" borderId="66" xfId="3" applyNumberFormat="1" applyFont="1" applyBorder="1"/>
    <xf numFmtId="3" fontId="15" fillId="0" borderId="67" xfId="3" applyNumberFormat="1" applyFont="1" applyBorder="1"/>
    <xf numFmtId="3" fontId="15" fillId="0" borderId="68" xfId="3" applyNumberFormat="1" applyFont="1" applyBorder="1" applyAlignment="1">
      <alignment horizontal="left"/>
    </xf>
    <xf numFmtId="3" fontId="15" fillId="0" borderId="69" xfId="3" applyNumberFormat="1" applyFont="1" applyBorder="1"/>
    <xf numFmtId="0" fontId="0" fillId="0" borderId="68" xfId="0" applyBorder="1"/>
    <xf numFmtId="165" fontId="15" fillId="0" borderId="68" xfId="3" applyNumberFormat="1" applyFont="1" applyBorder="1" applyAlignment="1">
      <alignment horizontal="left"/>
    </xf>
    <xf numFmtId="3" fontId="15" fillId="0" borderId="68" xfId="3" applyNumberFormat="1" applyFont="1" applyBorder="1"/>
    <xf numFmtId="165" fontId="15" fillId="0" borderId="69" xfId="3" applyNumberFormat="1" applyFont="1" applyBorder="1"/>
    <xf numFmtId="3" fontId="15" fillId="11" borderId="68" xfId="3" applyNumberFormat="1" applyFont="1" applyFill="1" applyBorder="1" applyAlignment="1">
      <alignment horizontal="left"/>
    </xf>
    <xf numFmtId="165" fontId="15" fillId="11" borderId="69" xfId="3" applyNumberFormat="1" applyFont="1" applyFill="1" applyBorder="1"/>
    <xf numFmtId="3" fontId="15" fillId="0" borderId="71" xfId="3" applyNumberFormat="1" applyFont="1" applyBorder="1"/>
    <xf numFmtId="169" fontId="15" fillId="0" borderId="71" xfId="3" applyNumberFormat="1" applyFont="1" applyBorder="1"/>
    <xf numFmtId="165" fontId="15" fillId="0" borderId="72" xfId="3" applyNumberFormat="1" applyFont="1" applyBorder="1"/>
    <xf numFmtId="172" fontId="12" fillId="0" borderId="30" xfId="1" applyNumberFormat="1" applyFont="1" applyFill="1" applyBorder="1" applyAlignment="1" applyProtection="1">
      <alignment horizontal="right" vertical="center"/>
    </xf>
    <xf numFmtId="9" fontId="19" fillId="0" borderId="30" xfId="1" applyNumberFormat="1" applyFont="1" applyFill="1" applyBorder="1" applyAlignment="1" applyProtection="1">
      <alignment horizontal="center" vertical="center"/>
    </xf>
    <xf numFmtId="0" fontId="0" fillId="16" borderId="0" xfId="0" applyFill="1" applyProtection="1">
      <protection locked="0"/>
    </xf>
    <xf numFmtId="0" fontId="5" fillId="16" borderId="0" xfId="0" applyFont="1" applyFill="1" applyProtection="1">
      <protection locked="0"/>
    </xf>
    <xf numFmtId="165" fontId="0" fillId="16" borderId="0" xfId="0" applyNumberFormat="1" applyFill="1" applyProtection="1">
      <protection locked="0"/>
    </xf>
    <xf numFmtId="0" fontId="55" fillId="16" borderId="0" xfId="0" applyFont="1" applyFill="1" applyAlignment="1" applyProtection="1">
      <alignment horizontal="left" vertical="center"/>
      <protection locked="0"/>
    </xf>
    <xf numFmtId="171" fontId="14" fillId="0" borderId="25" xfId="1" applyNumberFormat="1" applyFont="1" applyFill="1" applyBorder="1" applyAlignment="1" applyProtection="1">
      <alignment horizontal="right" vertical="center"/>
    </xf>
    <xf numFmtId="171" fontId="41" fillId="0" borderId="25" xfId="1" applyNumberFormat="1" applyFont="1" applyFill="1" applyBorder="1" applyAlignment="1" applyProtection="1">
      <alignment horizontal="right" vertical="center"/>
    </xf>
    <xf numFmtId="171" fontId="14" fillId="0" borderId="26" xfId="1" applyNumberFormat="1" applyFont="1" applyFill="1" applyBorder="1" applyAlignment="1" applyProtection="1">
      <alignment horizontal="right" vertical="center"/>
    </xf>
    <xf numFmtId="0" fontId="0" fillId="16" borderId="1" xfId="0" applyFill="1" applyBorder="1" applyProtection="1">
      <protection locked="0"/>
    </xf>
    <xf numFmtId="0" fontId="0" fillId="16" borderId="4" xfId="0" applyFill="1" applyBorder="1" applyProtection="1">
      <protection locked="0"/>
    </xf>
    <xf numFmtId="171" fontId="12" fillId="16" borderId="1" xfId="1" applyNumberFormat="1" applyFont="1" applyFill="1" applyBorder="1" applyAlignment="1" applyProtection="1">
      <alignment horizontal="center" vertical="center"/>
      <protection locked="0"/>
    </xf>
    <xf numFmtId="3" fontId="15" fillId="0" borderId="41" xfId="3" applyNumberFormat="1" applyFont="1" applyBorder="1"/>
    <xf numFmtId="171" fontId="39" fillId="0" borderId="62" xfId="1" applyNumberFormat="1" applyFont="1" applyFill="1" applyBorder="1" applyAlignment="1" applyProtection="1">
      <alignment horizontal="left" vertical="center"/>
    </xf>
    <xf numFmtId="171" fontId="15" fillId="0" borderId="0" xfId="1" applyNumberFormat="1" applyFont="1" applyFill="1" applyBorder="1" applyAlignment="1" applyProtection="1">
      <alignment horizontal="right" vertical="center"/>
    </xf>
    <xf numFmtId="171" fontId="41" fillId="0" borderId="63" xfId="1" applyNumberFormat="1" applyFont="1" applyFill="1" applyBorder="1" applyAlignment="1" applyProtection="1">
      <alignment horizontal="right" vertical="center"/>
    </xf>
    <xf numFmtId="3" fontId="15" fillId="0" borderId="14" xfId="3" applyNumberFormat="1" applyFont="1" applyBorder="1"/>
    <xf numFmtId="171" fontId="14" fillId="0" borderId="63" xfId="1" applyNumberFormat="1" applyFont="1" applyFill="1" applyBorder="1" applyAlignment="1" applyProtection="1">
      <alignment horizontal="right" vertical="center"/>
    </xf>
    <xf numFmtId="3" fontId="14" fillId="0" borderId="41" xfId="3" applyNumberFormat="1" applyFont="1" applyBorder="1"/>
    <xf numFmtId="9" fontId="19" fillId="0" borderId="26" xfId="1" applyNumberFormat="1" applyFont="1" applyFill="1" applyBorder="1" applyAlignment="1" applyProtection="1">
      <alignment horizontal="center" vertical="center"/>
    </xf>
    <xf numFmtId="174" fontId="12" fillId="0" borderId="0" xfId="1" applyNumberFormat="1" applyFont="1" applyFill="1" applyBorder="1" applyAlignment="1" applyProtection="1">
      <alignment horizontal="right" vertical="center"/>
    </xf>
    <xf numFmtId="171" fontId="41" fillId="0" borderId="64" xfId="1" applyNumberFormat="1" applyFont="1" applyFill="1" applyBorder="1" applyAlignment="1" applyProtection="1">
      <alignment horizontal="right" vertical="center"/>
    </xf>
    <xf numFmtId="0" fontId="0" fillId="17" borderId="0" xfId="0" applyFill="1" applyProtection="1">
      <protection locked="0"/>
    </xf>
    <xf numFmtId="0" fontId="5" fillId="17" borderId="0" xfId="0" applyFont="1" applyFill="1" applyProtection="1">
      <protection locked="0"/>
    </xf>
    <xf numFmtId="3" fontId="0" fillId="17" borderId="0" xfId="0" applyNumberFormat="1" applyFill="1" applyAlignment="1" applyProtection="1">
      <alignment horizontal="center"/>
      <protection locked="0"/>
    </xf>
    <xf numFmtId="3" fontId="63" fillId="0" borderId="0" xfId="3" applyNumberFormat="1" applyFont="1" applyAlignment="1">
      <alignment horizontal="left"/>
    </xf>
    <xf numFmtId="171" fontId="15" fillId="0" borderId="0" xfId="1" applyNumberFormat="1" applyFont="1" applyFill="1" applyBorder="1" applyAlignment="1" applyProtection="1">
      <alignment horizontal="left" vertical="center"/>
    </xf>
    <xf numFmtId="3" fontId="63" fillId="0" borderId="0" xfId="3" applyNumberFormat="1" applyFont="1"/>
    <xf numFmtId="171" fontId="20" fillId="0" borderId="0" xfId="1" applyNumberFormat="1" applyFont="1" applyFill="1" applyBorder="1" applyAlignment="1" applyProtection="1">
      <alignment horizontal="right" vertical="center"/>
    </xf>
    <xf numFmtId="3" fontId="20" fillId="0" borderId="0" xfId="3" applyNumberFormat="1" applyFont="1" applyAlignment="1">
      <alignment horizontal="left"/>
    </xf>
    <xf numFmtId="3" fontId="20" fillId="0" borderId="0" xfId="3" applyNumberFormat="1" applyFont="1" applyAlignment="1">
      <alignment horizontal="center"/>
    </xf>
    <xf numFmtId="171" fontId="20" fillId="0" borderId="0" xfId="1" applyNumberFormat="1" applyFont="1" applyFill="1" applyBorder="1" applyAlignment="1" applyProtection="1">
      <alignment horizontal="left" vertical="center"/>
    </xf>
    <xf numFmtId="3" fontId="15" fillId="0" borderId="0" xfId="3" applyNumberFormat="1" applyFont="1" applyAlignment="1">
      <alignment horizontal="left" vertical="center"/>
    </xf>
    <xf numFmtId="3" fontId="15" fillId="0" borderId="0" xfId="3" applyNumberFormat="1" applyFont="1" applyAlignment="1">
      <alignment horizontal="right" vertical="center"/>
    </xf>
    <xf numFmtId="3" fontId="15" fillId="0" borderId="0" xfId="3" quotePrefix="1" applyNumberFormat="1" applyFont="1" applyAlignment="1">
      <alignment horizontal="center" vertical="center"/>
    </xf>
    <xf numFmtId="3" fontId="39" fillId="0" borderId="0" xfId="3" quotePrefix="1" applyNumberFormat="1" applyFont="1" applyAlignment="1">
      <alignment horizontal="center" vertical="center"/>
    </xf>
    <xf numFmtId="3" fontId="15" fillId="0" borderId="0" xfId="3" applyNumberFormat="1" applyFont="1" applyAlignment="1">
      <alignment horizontal="center" vertical="center"/>
    </xf>
    <xf numFmtId="171" fontId="12" fillId="0" borderId="30" xfId="1" applyNumberFormat="1" applyFont="1" applyFill="1" applyBorder="1" applyAlignment="1" applyProtection="1">
      <alignment horizontal="center" vertical="center"/>
    </xf>
    <xf numFmtId="171" fontId="12" fillId="0" borderId="33" xfId="1" applyNumberFormat="1" applyFont="1" applyFill="1" applyBorder="1" applyAlignment="1" applyProtection="1">
      <alignment horizontal="center" vertical="center"/>
    </xf>
    <xf numFmtId="3" fontId="24" fillId="0" borderId="14" xfId="3" applyNumberFormat="1" applyFont="1" applyBorder="1" applyAlignment="1">
      <alignment horizontal="left"/>
    </xf>
    <xf numFmtId="3" fontId="15" fillId="0" borderId="15" xfId="3" applyNumberFormat="1" applyFont="1" applyBorder="1" applyAlignment="1">
      <alignment vertical="center"/>
    </xf>
    <xf numFmtId="3" fontId="15" fillId="0" borderId="19" xfId="3" applyNumberFormat="1" applyFont="1" applyBorder="1"/>
    <xf numFmtId="3" fontId="14" fillId="0" borderId="19" xfId="3" applyNumberFormat="1" applyFont="1" applyBorder="1"/>
    <xf numFmtId="3" fontId="63" fillId="0" borderId="34" xfId="3" applyNumberFormat="1" applyFont="1" applyBorder="1"/>
    <xf numFmtId="171" fontId="20" fillId="0" borderId="31" xfId="1" applyNumberFormat="1" applyFont="1" applyFill="1" applyBorder="1" applyAlignment="1" applyProtection="1">
      <alignment horizontal="left" vertical="center"/>
    </xf>
    <xf numFmtId="0" fontId="55" fillId="0" borderId="0" xfId="0" applyFont="1" applyAlignment="1" applyProtection="1">
      <alignment horizontal="right" vertical="center"/>
      <protection locked="0"/>
    </xf>
    <xf numFmtId="171" fontId="12" fillId="0" borderId="36" xfId="1" applyNumberFormat="1" applyFont="1" applyFill="1" applyBorder="1" applyAlignment="1" applyProtection="1">
      <alignment horizontal="right" vertical="center"/>
    </xf>
    <xf numFmtId="3" fontId="3" fillId="4" borderId="1" xfId="0" applyNumberFormat="1" applyFont="1" applyFill="1" applyBorder="1" applyAlignment="1" applyProtection="1">
      <alignment horizontal="center" vertical="center"/>
      <protection locked="0"/>
    </xf>
    <xf numFmtId="0" fontId="5" fillId="15" borderId="61" xfId="0" applyFont="1" applyFill="1" applyBorder="1" applyProtection="1">
      <protection locked="0"/>
    </xf>
    <xf numFmtId="0" fontId="3" fillId="0" borderId="1" xfId="0" applyFont="1" applyBorder="1" applyProtection="1">
      <protection locked="0"/>
    </xf>
    <xf numFmtId="0" fontId="3" fillId="0" borderId="4" xfId="0" applyFont="1" applyBorder="1" applyProtection="1">
      <protection locked="0"/>
    </xf>
    <xf numFmtId="3" fontId="12" fillId="0" borderId="0" xfId="3" applyNumberFormat="1" applyAlignment="1">
      <alignment horizontal="left"/>
    </xf>
    <xf numFmtId="3" fontId="12" fillId="0" borderId="70" xfId="3" applyNumberFormat="1" applyBorder="1" applyAlignment="1">
      <alignment horizontal="left"/>
    </xf>
    <xf numFmtId="3" fontId="12" fillId="11" borderId="68" xfId="3" applyNumberFormat="1" applyFill="1" applyBorder="1" applyAlignment="1">
      <alignment horizontal="left"/>
    </xf>
    <xf numFmtId="3" fontId="12" fillId="0" borderId="68" xfId="3" applyNumberFormat="1" applyBorder="1" applyAlignment="1">
      <alignment horizontal="left"/>
    </xf>
    <xf numFmtId="3" fontId="12" fillId="0" borderId="68" xfId="3" applyNumberFormat="1" applyBorder="1"/>
    <xf numFmtId="0" fontId="69" fillId="0" borderId="0" xfId="0" applyFont="1" applyProtection="1">
      <protection locked="0"/>
    </xf>
    <xf numFmtId="0" fontId="70" fillId="0" borderId="0" xfId="0" applyFont="1" applyProtection="1">
      <protection locked="0"/>
    </xf>
    <xf numFmtId="3" fontId="19" fillId="0" borderId="11" xfId="3" applyNumberFormat="1" applyFont="1" applyBorder="1" applyAlignment="1">
      <alignment horizontal="left"/>
    </xf>
    <xf numFmtId="3" fontId="11" fillId="0" borderId="14" xfId="3" applyNumberFormat="1" applyFont="1" applyBorder="1" applyAlignment="1">
      <alignment horizontal="left"/>
    </xf>
    <xf numFmtId="3" fontId="11" fillId="0" borderId="73" xfId="3" applyNumberFormat="1" applyFont="1" applyBorder="1" applyAlignment="1">
      <alignment horizontal="left"/>
    </xf>
    <xf numFmtId="3" fontId="11" fillId="0" borderId="74" xfId="3" applyNumberFormat="1" applyFont="1" applyBorder="1" applyAlignment="1">
      <alignment horizontal="left"/>
    </xf>
    <xf numFmtId="0" fontId="11" fillId="0" borderId="73" xfId="0" applyFont="1" applyBorder="1"/>
    <xf numFmtId="0" fontId="11" fillId="0" borderId="14" xfId="0" applyFont="1" applyBorder="1"/>
    <xf numFmtId="0" fontId="11" fillId="0" borderId="74" xfId="0" applyFont="1" applyBorder="1"/>
    <xf numFmtId="165" fontId="11" fillId="0" borderId="73" xfId="3" applyNumberFormat="1" applyFont="1" applyBorder="1" applyAlignment="1">
      <alignment horizontal="left"/>
    </xf>
    <xf numFmtId="165" fontId="11" fillId="0" borderId="74" xfId="3" applyNumberFormat="1" applyFont="1" applyBorder="1" applyAlignment="1">
      <alignment horizontal="left"/>
    </xf>
    <xf numFmtId="3" fontId="17" fillId="0" borderId="14" xfId="3" applyNumberFormat="1" applyFont="1" applyBorder="1" applyAlignment="1">
      <alignment horizontal="left"/>
    </xf>
    <xf numFmtId="3" fontId="11" fillId="0" borderId="12" xfId="3" applyNumberFormat="1" applyFont="1" applyBorder="1"/>
    <xf numFmtId="3" fontId="11" fillId="0" borderId="13" xfId="3" applyNumberFormat="1" applyFont="1" applyBorder="1"/>
    <xf numFmtId="3" fontId="11" fillId="0" borderId="15" xfId="3" applyNumberFormat="1" applyFont="1" applyBorder="1"/>
    <xf numFmtId="0" fontId="11" fillId="0" borderId="15" xfId="0" applyFont="1" applyBorder="1"/>
    <xf numFmtId="3" fontId="11" fillId="0" borderId="75" xfId="3" applyNumberFormat="1" applyFont="1" applyBorder="1"/>
    <xf numFmtId="3" fontId="11" fillId="0" borderId="76" xfId="3" applyNumberFormat="1" applyFont="1" applyBorder="1"/>
    <xf numFmtId="3" fontId="11" fillId="0" borderId="77" xfId="3" applyNumberFormat="1" applyFont="1" applyBorder="1"/>
    <xf numFmtId="3" fontId="11" fillId="0" borderId="78" xfId="3" applyNumberFormat="1" applyFont="1" applyBorder="1"/>
    <xf numFmtId="3" fontId="11" fillId="0" borderId="80" xfId="3" applyNumberFormat="1" applyFont="1" applyBorder="1"/>
    <xf numFmtId="3" fontId="11" fillId="0" borderId="79" xfId="3" applyNumberFormat="1" applyFont="1" applyBorder="1"/>
    <xf numFmtId="0" fontId="11" fillId="19" borderId="21" xfId="0" applyFont="1" applyFill="1" applyBorder="1"/>
    <xf numFmtId="0" fontId="11" fillId="19" borderId="22" xfId="0" applyFont="1" applyFill="1" applyBorder="1"/>
    <xf numFmtId="3" fontId="11" fillId="10" borderId="20" xfId="3" applyNumberFormat="1" applyFont="1" applyFill="1" applyBorder="1" applyAlignment="1">
      <alignment horizontal="left" vertical="center"/>
    </xf>
    <xf numFmtId="3" fontId="11" fillId="9" borderId="81" xfId="3" applyNumberFormat="1" applyFont="1" applyFill="1" applyBorder="1" applyAlignment="1">
      <alignment horizontal="left" vertical="center"/>
    </xf>
    <xf numFmtId="0" fontId="11" fillId="18" borderId="45" xfId="0" applyFont="1" applyFill="1" applyBorder="1"/>
    <xf numFmtId="0" fontId="11" fillId="18" borderId="82" xfId="0" applyFont="1" applyFill="1" applyBorder="1"/>
    <xf numFmtId="0" fontId="0" fillId="0" borderId="13" xfId="0" applyBorder="1"/>
    <xf numFmtId="0" fontId="0" fillId="0" borderId="15" xfId="0" applyBorder="1"/>
    <xf numFmtId="0" fontId="0" fillId="0" borderId="76" xfId="0" applyBorder="1"/>
    <xf numFmtId="0" fontId="0" fillId="0" borderId="78" xfId="0" applyBorder="1"/>
    <xf numFmtId="165" fontId="11" fillId="0" borderId="14" xfId="3" applyNumberFormat="1" applyFont="1" applyBorder="1" applyAlignment="1">
      <alignment horizontal="left"/>
    </xf>
    <xf numFmtId="3" fontId="11" fillId="0" borderId="83" xfId="3" applyNumberFormat="1" applyFont="1" applyBorder="1" applyAlignment="1">
      <alignment horizontal="left"/>
    </xf>
    <xf numFmtId="0" fontId="0" fillId="0" borderId="84" xfId="0" applyBorder="1"/>
    <xf numFmtId="0" fontId="0" fillId="19" borderId="22" xfId="0" applyFill="1" applyBorder="1"/>
    <xf numFmtId="0" fontId="0" fillId="18" borderId="82" xfId="0" applyFill="1" applyBorder="1"/>
    <xf numFmtId="171" fontId="12" fillId="20" borderId="1" xfId="1" applyNumberFormat="1" applyFont="1" applyFill="1" applyBorder="1" applyAlignment="1" applyProtection="1">
      <alignment horizontal="center" vertical="center"/>
      <protection locked="0"/>
    </xf>
    <xf numFmtId="171" fontId="39" fillId="0" borderId="85" xfId="1" applyNumberFormat="1" applyFont="1" applyFill="1" applyBorder="1" applyAlignment="1" applyProtection="1">
      <alignment horizontal="left" vertical="center"/>
    </xf>
    <xf numFmtId="3" fontId="12" fillId="0" borderId="0" xfId="3" applyNumberFormat="1"/>
    <xf numFmtId="3" fontId="73" fillId="0" borderId="0" xfId="3" applyNumberFormat="1" applyFont="1" applyAlignment="1">
      <alignment horizontal="right"/>
    </xf>
    <xf numFmtId="3" fontId="74" fillId="0" borderId="0" xfId="3" applyNumberFormat="1" applyFont="1" applyAlignment="1">
      <alignment horizontal="right"/>
    </xf>
    <xf numFmtId="3" fontId="75" fillId="0" borderId="0" xfId="3" applyNumberFormat="1" applyFont="1" applyAlignment="1">
      <alignment horizontal="right"/>
    </xf>
    <xf numFmtId="3" fontId="74" fillId="0" borderId="0" xfId="3" applyNumberFormat="1" applyFont="1" applyAlignment="1">
      <alignment horizontal="right" vertical="center"/>
    </xf>
    <xf numFmtId="3" fontId="76" fillId="0" borderId="0" xfId="3" applyNumberFormat="1" applyFont="1" applyAlignment="1">
      <alignment horizontal="right"/>
    </xf>
    <xf numFmtId="3" fontId="0" fillId="4" borderId="0" xfId="0" applyNumberFormat="1" applyFill="1" applyAlignment="1" applyProtection="1">
      <alignment horizontal="center" vertical="center"/>
      <protection locked="0"/>
    </xf>
    <xf numFmtId="171" fontId="12" fillId="16" borderId="0" xfId="1" applyNumberFormat="1" applyFont="1" applyFill="1" applyBorder="1" applyAlignment="1" applyProtection="1">
      <alignment horizontal="center" vertical="center"/>
      <protection locked="0"/>
    </xf>
    <xf numFmtId="0" fontId="5" fillId="21" borderId="49" xfId="0" applyFont="1" applyFill="1" applyBorder="1" applyAlignment="1" applyProtection="1">
      <alignment horizontal="center" vertical="center"/>
      <protection locked="0"/>
    </xf>
    <xf numFmtId="0" fontId="5" fillId="22" borderId="49" xfId="0" applyFont="1" applyFill="1" applyBorder="1" applyAlignment="1" applyProtection="1">
      <alignment horizontal="center" vertical="center"/>
      <protection locked="0"/>
    </xf>
    <xf numFmtId="0" fontId="0" fillId="23" borderId="0" xfId="0" applyFill="1" applyProtection="1">
      <protection locked="0"/>
    </xf>
    <xf numFmtId="165" fontId="0" fillId="23" borderId="0" xfId="0" applyNumberFormat="1" applyFill="1" applyAlignment="1" applyProtection="1">
      <alignment horizontal="center"/>
      <protection locked="0"/>
    </xf>
    <xf numFmtId="0" fontId="5" fillId="23" borderId="0" xfId="0" applyFont="1" applyFill="1" applyProtection="1">
      <protection locked="0"/>
    </xf>
    <xf numFmtId="171" fontId="14" fillId="0" borderId="86" xfId="1" applyNumberFormat="1" applyFont="1" applyFill="1" applyBorder="1" applyAlignment="1" applyProtection="1">
      <alignment horizontal="right" vertical="center"/>
    </xf>
    <xf numFmtId="171" fontId="41" fillId="0" borderId="87" xfId="1" applyNumberFormat="1" applyFont="1" applyFill="1" applyBorder="1" applyAlignment="1" applyProtection="1">
      <alignment horizontal="right" vertical="center"/>
    </xf>
    <xf numFmtId="171" fontId="14" fillId="0" borderId="88" xfId="1" applyNumberFormat="1" applyFont="1" applyFill="1" applyBorder="1" applyAlignment="1" applyProtection="1">
      <alignment horizontal="right" vertical="center"/>
    </xf>
    <xf numFmtId="171" fontId="12" fillId="0" borderId="89" xfId="1" applyNumberFormat="1" applyFont="1" applyFill="1" applyBorder="1" applyAlignment="1" applyProtection="1">
      <alignment horizontal="right" vertical="center"/>
    </xf>
    <xf numFmtId="171" fontId="12" fillId="0" borderId="75" xfId="1" applyNumberFormat="1" applyFont="1" applyFill="1" applyBorder="1" applyAlignment="1" applyProtection="1">
      <alignment horizontal="right" vertical="center"/>
    </xf>
    <xf numFmtId="171" fontId="14" fillId="0" borderId="75" xfId="1" applyNumberFormat="1" applyFont="1" applyFill="1" applyBorder="1" applyAlignment="1" applyProtection="1">
      <alignment horizontal="right" vertical="center"/>
    </xf>
    <xf numFmtId="3" fontId="12" fillId="0" borderId="30" xfId="3" applyNumberFormat="1" applyBorder="1"/>
    <xf numFmtId="171" fontId="41" fillId="0" borderId="91" xfId="1" applyNumberFormat="1" applyFont="1" applyFill="1" applyBorder="1" applyAlignment="1" applyProtection="1">
      <alignment horizontal="right" vertical="center"/>
    </xf>
    <xf numFmtId="171" fontId="14" fillId="0" borderId="92" xfId="1" applyNumberFormat="1" applyFont="1" applyFill="1" applyBorder="1" applyAlignment="1" applyProtection="1">
      <alignment horizontal="right" vertical="center"/>
    </xf>
    <xf numFmtId="171" fontId="12" fillId="0" borderId="93" xfId="1" applyNumberFormat="1" applyFont="1" applyFill="1" applyBorder="1" applyAlignment="1" applyProtection="1">
      <alignment horizontal="right" vertical="center"/>
    </xf>
    <xf numFmtId="171" fontId="14" fillId="0" borderId="93" xfId="1" applyNumberFormat="1" applyFont="1" applyFill="1" applyBorder="1" applyAlignment="1" applyProtection="1">
      <alignment horizontal="right" vertical="center"/>
    </xf>
    <xf numFmtId="171" fontId="41" fillId="0" borderId="94" xfId="1" applyNumberFormat="1" applyFont="1" applyFill="1" applyBorder="1" applyAlignment="1" applyProtection="1">
      <alignment horizontal="right" vertical="center"/>
    </xf>
    <xf numFmtId="171" fontId="14" fillId="0" borderId="95" xfId="1" applyNumberFormat="1" applyFont="1" applyFill="1" applyBorder="1" applyAlignment="1" applyProtection="1">
      <alignment horizontal="right" vertical="center"/>
    </xf>
    <xf numFmtId="3" fontId="44" fillId="24" borderId="14" xfId="1" applyNumberFormat="1" applyFont="1" applyFill="1" applyBorder="1" applyAlignment="1" applyProtection="1">
      <alignment horizontal="right" vertical="center"/>
    </xf>
    <xf numFmtId="3" fontId="44" fillId="24" borderId="0" xfId="1" applyNumberFormat="1" applyFont="1" applyFill="1" applyBorder="1" applyAlignment="1" applyProtection="1">
      <alignment horizontal="right" vertical="center"/>
    </xf>
    <xf numFmtId="3" fontId="44" fillId="24" borderId="20" xfId="1" applyNumberFormat="1" applyFont="1" applyFill="1" applyBorder="1" applyAlignment="1" applyProtection="1">
      <alignment horizontal="right" vertical="center"/>
    </xf>
    <xf numFmtId="3" fontId="44" fillId="24" borderId="21" xfId="1" applyNumberFormat="1" applyFont="1" applyFill="1" applyBorder="1" applyAlignment="1" applyProtection="1">
      <alignment horizontal="right" vertical="center"/>
    </xf>
    <xf numFmtId="9" fontId="12" fillId="0" borderId="0" xfId="5" applyFont="1" applyFill="1" applyBorder="1" applyAlignment="1" applyProtection="1">
      <alignment horizontal="left" vertical="center"/>
    </xf>
    <xf numFmtId="3" fontId="77" fillId="0" borderId="25" xfId="3" applyNumberFormat="1" applyFont="1" applyBorder="1" applyAlignment="1">
      <alignment horizontal="center" vertical="center"/>
    </xf>
    <xf numFmtId="3" fontId="77" fillId="0" borderId="28" xfId="3" applyNumberFormat="1" applyFont="1" applyBorder="1" applyAlignment="1">
      <alignment horizontal="center" vertical="center"/>
    </xf>
    <xf numFmtId="0" fontId="79" fillId="12" borderId="0" xfId="0" applyFont="1" applyFill="1" applyProtection="1">
      <protection locked="0"/>
    </xf>
    <xf numFmtId="9" fontId="80" fillId="4" borderId="1" xfId="5" applyFont="1" applyFill="1" applyBorder="1" applyAlignment="1" applyProtection="1">
      <alignment horizontal="center" vertical="center"/>
      <protection locked="0"/>
    </xf>
    <xf numFmtId="0" fontId="79" fillId="0" borderId="0" xfId="0" applyFont="1" applyProtection="1">
      <protection locked="0"/>
    </xf>
    <xf numFmtId="0" fontId="78" fillId="11" borderId="90" xfId="0" applyFont="1" applyFill="1" applyBorder="1" applyProtection="1">
      <protection locked="0"/>
    </xf>
    <xf numFmtId="0" fontId="79" fillId="11" borderId="96" xfId="0" applyFont="1" applyFill="1" applyBorder="1" applyProtection="1">
      <protection locked="0"/>
    </xf>
    <xf numFmtId="0" fontId="5" fillId="21" borderId="0" xfId="0" applyFont="1" applyFill="1" applyAlignment="1" applyProtection="1">
      <alignment horizontal="center" vertical="center"/>
      <protection locked="0"/>
    </xf>
    <xf numFmtId="0" fontId="5" fillId="22" borderId="0" xfId="0" applyFont="1" applyFill="1" applyAlignment="1" applyProtection="1">
      <alignment horizontal="center" vertical="center"/>
      <protection locked="0"/>
    </xf>
    <xf numFmtId="0" fontId="6" fillId="21" borderId="0" xfId="0" applyFont="1" applyFill="1" applyAlignment="1" applyProtection="1">
      <alignment horizontal="center" vertical="center"/>
      <protection locked="0"/>
    </xf>
    <xf numFmtId="0" fontId="6" fillId="22" borderId="0" xfId="0" applyFont="1" applyFill="1" applyAlignment="1" applyProtection="1">
      <alignment horizontal="center" vertical="center"/>
      <protection locked="0"/>
    </xf>
    <xf numFmtId="3" fontId="23" fillId="21" borderId="0" xfId="4" applyNumberFormat="1" applyFont="1" applyFill="1" applyAlignment="1">
      <alignment horizontal="left"/>
    </xf>
    <xf numFmtId="3" fontId="22" fillId="21" borderId="0" xfId="4" applyNumberFormat="1" applyFont="1" applyFill="1" applyAlignment="1">
      <alignment horizontal="right"/>
    </xf>
    <xf numFmtId="3" fontId="22" fillId="21" borderId="2" xfId="4" applyNumberFormat="1" applyFont="1" applyFill="1" applyBorder="1" applyAlignment="1">
      <alignment horizontal="right"/>
    </xf>
    <xf numFmtId="3" fontId="22" fillId="21" borderId="3" xfId="4" applyNumberFormat="1" applyFont="1" applyFill="1" applyBorder="1" applyAlignment="1">
      <alignment horizontal="right"/>
    </xf>
    <xf numFmtId="3" fontId="23" fillId="22" borderId="0" xfId="4" applyNumberFormat="1" applyFont="1" applyFill="1" applyAlignment="1">
      <alignment horizontal="left"/>
    </xf>
    <xf numFmtId="3" fontId="22" fillId="22" borderId="0" xfId="4" applyNumberFormat="1" applyFont="1" applyFill="1" applyAlignment="1">
      <alignment horizontal="right"/>
    </xf>
    <xf numFmtId="3" fontId="22" fillId="22" borderId="2" xfId="4" applyNumberFormat="1" applyFont="1" applyFill="1" applyBorder="1" applyAlignment="1">
      <alignment horizontal="right"/>
    </xf>
    <xf numFmtId="3" fontId="22" fillId="22" borderId="3" xfId="4" applyNumberFormat="1" applyFont="1" applyFill="1" applyBorder="1" applyAlignment="1">
      <alignment horizontal="right"/>
    </xf>
    <xf numFmtId="3" fontId="27" fillId="3" borderId="97" xfId="4" applyNumberFormat="1" applyFont="1" applyFill="1" applyBorder="1" applyAlignment="1">
      <alignment horizontal="right"/>
    </xf>
    <xf numFmtId="3" fontId="27" fillId="0" borderId="97" xfId="4" applyNumberFormat="1" applyFont="1" applyBorder="1" applyAlignment="1">
      <alignment horizontal="right"/>
    </xf>
    <xf numFmtId="3" fontId="27" fillId="5" borderId="97" xfId="4" quotePrefix="1" applyNumberFormat="1" applyFont="1" applyFill="1" applyBorder="1" applyAlignment="1">
      <alignment horizontal="right"/>
    </xf>
    <xf numFmtId="169" fontId="27" fillId="0" borderId="97" xfId="4" applyNumberFormat="1" applyFont="1" applyBorder="1" applyAlignment="1">
      <alignment horizontal="right"/>
    </xf>
    <xf numFmtId="3" fontId="27" fillId="21" borderId="97" xfId="4" applyNumberFormat="1" applyFont="1" applyFill="1" applyBorder="1" applyAlignment="1">
      <alignment horizontal="right"/>
    </xf>
    <xf numFmtId="3" fontId="27" fillId="22" borderId="97" xfId="4" applyNumberFormat="1" applyFont="1" applyFill="1" applyBorder="1" applyAlignment="1">
      <alignment horizontal="right"/>
    </xf>
    <xf numFmtId="3" fontId="28" fillId="6" borderId="97" xfId="4" applyNumberFormat="1" applyFont="1" applyFill="1" applyBorder="1" applyAlignment="1">
      <alignment horizontal="right"/>
    </xf>
    <xf numFmtId="4" fontId="27" fillId="0" borderId="97" xfId="4" applyNumberFormat="1" applyFont="1" applyBorder="1" applyAlignment="1">
      <alignment horizontal="right"/>
    </xf>
    <xf numFmtId="0" fontId="0" fillId="0" borderId="98" xfId="0" applyBorder="1" applyAlignment="1">
      <alignment vertical="center"/>
    </xf>
    <xf numFmtId="3" fontId="27" fillId="2" borderId="97" xfId="4" applyNumberFormat="1" applyFont="1" applyFill="1" applyBorder="1" applyAlignment="1">
      <alignment horizontal="right"/>
    </xf>
    <xf numFmtId="0" fontId="81" fillId="16" borderId="0" xfId="0" applyFont="1" applyFill="1" applyProtection="1">
      <protection locked="0"/>
    </xf>
    <xf numFmtId="175" fontId="77" fillId="0" borderId="0" xfId="5" applyNumberFormat="1" applyFont="1" applyFill="1" applyBorder="1" applyAlignment="1" applyProtection="1">
      <alignment horizontal="right" vertical="center"/>
    </xf>
    <xf numFmtId="0" fontId="82" fillId="0" borderId="0" xfId="4" applyFont="1" applyAlignment="1">
      <alignment horizontal="right"/>
    </xf>
    <xf numFmtId="3" fontId="82" fillId="0" borderId="0" xfId="4" applyNumberFormat="1" applyFont="1" applyAlignment="1">
      <alignment horizontal="right"/>
    </xf>
    <xf numFmtId="3" fontId="82" fillId="0" borderId="2" xfId="4" applyNumberFormat="1" applyFont="1" applyBorder="1" applyAlignment="1">
      <alignment horizontal="right"/>
    </xf>
    <xf numFmtId="170" fontId="82" fillId="0" borderId="0" xfId="4" applyNumberFormat="1" applyFont="1" applyAlignment="1">
      <alignment horizontal="right"/>
    </xf>
    <xf numFmtId="3" fontId="82" fillId="0" borderId="3" xfId="4" applyNumberFormat="1" applyFont="1" applyBorder="1" applyAlignment="1">
      <alignment horizontal="right"/>
    </xf>
    <xf numFmtId="3" fontId="83" fillId="0" borderId="97" xfId="4" applyNumberFormat="1" applyFont="1" applyBorder="1" applyAlignment="1">
      <alignment horizontal="right"/>
    </xf>
    <xf numFmtId="3" fontId="10" fillId="4" borderId="1" xfId="0" applyNumberFormat="1" applyFont="1" applyFill="1" applyBorder="1" applyAlignment="1" applyProtection="1">
      <alignment horizontal="center" vertical="center"/>
      <protection locked="0"/>
    </xf>
    <xf numFmtId="171" fontId="14" fillId="0" borderId="94" xfId="1" applyNumberFormat="1" applyFont="1" applyFill="1" applyBorder="1" applyAlignment="1" applyProtection="1">
      <alignment horizontal="right" vertical="center"/>
    </xf>
    <xf numFmtId="3" fontId="84" fillId="0" borderId="0" xfId="3" applyNumberFormat="1" applyFont="1"/>
    <xf numFmtId="3" fontId="84" fillId="0" borderId="0" xfId="3" applyNumberFormat="1" applyFont="1" applyAlignment="1">
      <alignment horizontal="right"/>
    </xf>
    <xf numFmtId="3" fontId="77" fillId="0" borderId="0" xfId="3" applyNumberFormat="1" applyFont="1"/>
    <xf numFmtId="3" fontId="77" fillId="0" borderId="26" xfId="3" applyNumberFormat="1" applyFont="1" applyBorder="1" applyAlignment="1">
      <alignment horizontal="center" vertical="center"/>
    </xf>
    <xf numFmtId="3" fontId="77" fillId="0" borderId="33" xfId="3" applyNumberFormat="1" applyFont="1" applyBorder="1" applyAlignment="1">
      <alignment horizontal="center" vertical="center"/>
    </xf>
    <xf numFmtId="171" fontId="77" fillId="0" borderId="33" xfId="1" applyNumberFormat="1" applyFont="1" applyFill="1" applyBorder="1" applyAlignment="1" applyProtection="1">
      <alignment horizontal="left" vertical="center"/>
    </xf>
    <xf numFmtId="171" fontId="85" fillId="0" borderId="33" xfId="1" applyNumberFormat="1" applyFont="1" applyFill="1" applyBorder="1" applyAlignment="1" applyProtection="1">
      <alignment horizontal="right" vertical="center"/>
    </xf>
    <xf numFmtId="3" fontId="86" fillId="0" borderId="33" xfId="3" quotePrefix="1" applyNumberFormat="1" applyFont="1" applyBorder="1" applyAlignment="1">
      <alignment horizontal="right"/>
    </xf>
    <xf numFmtId="171" fontId="77" fillId="0" borderId="33" xfId="1" applyNumberFormat="1" applyFont="1" applyFill="1" applyBorder="1" applyAlignment="1" applyProtection="1">
      <alignment horizontal="right" vertical="center"/>
    </xf>
    <xf numFmtId="171" fontId="85" fillId="0" borderId="29" xfId="1" applyNumberFormat="1" applyFont="1" applyFill="1" applyBorder="1" applyAlignment="1" applyProtection="1">
      <alignment horizontal="right" vertical="center"/>
    </xf>
    <xf numFmtId="171" fontId="77" fillId="0" borderId="0" xfId="1" applyNumberFormat="1" applyFont="1" applyFill="1" applyBorder="1" applyAlignment="1" applyProtection="1">
      <alignment horizontal="right" vertical="center"/>
    </xf>
    <xf numFmtId="171" fontId="77" fillId="0" borderId="46" xfId="1" applyNumberFormat="1" applyFont="1" applyFill="1" applyBorder="1" applyAlignment="1" applyProtection="1">
      <alignment horizontal="right" vertical="center"/>
    </xf>
    <xf numFmtId="3" fontId="77" fillId="0" borderId="46" xfId="3" applyNumberFormat="1" applyFont="1" applyBorder="1"/>
    <xf numFmtId="0" fontId="0" fillId="0" borderId="61" xfId="0" applyBorder="1" applyProtection="1">
      <protection locked="0"/>
    </xf>
    <xf numFmtId="3" fontId="11" fillId="25" borderId="81" xfId="3" applyNumberFormat="1" applyFont="1" applyFill="1" applyBorder="1" applyAlignment="1">
      <alignment horizontal="left" vertical="center"/>
    </xf>
    <xf numFmtId="0" fontId="11" fillId="25" borderId="45" xfId="0" applyFont="1" applyFill="1" applyBorder="1"/>
    <xf numFmtId="0" fontId="11" fillId="25" borderId="82" xfId="0" applyFont="1" applyFill="1" applyBorder="1"/>
    <xf numFmtId="3" fontId="11" fillId="26" borderId="20" xfId="3" applyNumberFormat="1" applyFont="1" applyFill="1" applyBorder="1" applyAlignment="1">
      <alignment horizontal="left" vertical="center"/>
    </xf>
    <xf numFmtId="0" fontId="11" fillId="26" borderId="21" xfId="0" applyFont="1" applyFill="1" applyBorder="1"/>
    <xf numFmtId="0" fontId="11" fillId="26" borderId="22" xfId="0" applyFont="1" applyFill="1" applyBorder="1"/>
    <xf numFmtId="171" fontId="77" fillId="0" borderId="26" xfId="1" applyNumberFormat="1" applyFont="1" applyFill="1" applyBorder="1" applyAlignment="1" applyProtection="1">
      <alignment horizontal="right" vertical="center"/>
    </xf>
    <xf numFmtId="171" fontId="12" fillId="0" borderId="86" xfId="1" applyNumberFormat="1" applyFont="1" applyFill="1" applyBorder="1" applyAlignment="1" applyProtection="1">
      <alignment horizontal="right" vertical="center"/>
    </xf>
    <xf numFmtId="3" fontId="87" fillId="0" borderId="0" xfId="3" applyNumberFormat="1" applyFont="1" applyAlignment="1">
      <alignment horizontal="right"/>
    </xf>
    <xf numFmtId="3" fontId="85" fillId="0" borderId="30" xfId="3" applyNumberFormat="1" applyFont="1" applyBorder="1"/>
    <xf numFmtId="3" fontId="85" fillId="0" borderId="0" xfId="3" applyNumberFormat="1" applyFont="1" applyAlignment="1">
      <alignment horizontal="left"/>
    </xf>
    <xf numFmtId="3" fontId="77" fillId="0" borderId="0" xfId="3" applyNumberFormat="1" applyFont="1" applyAlignment="1">
      <alignment horizontal="left"/>
    </xf>
    <xf numFmtId="171" fontId="85" fillId="0" borderId="0" xfId="1" applyNumberFormat="1" applyFont="1" applyFill="1" applyBorder="1" applyAlignment="1" applyProtection="1">
      <alignment horizontal="right" vertical="center"/>
    </xf>
    <xf numFmtId="171" fontId="77" fillId="0" borderId="30" xfId="1" applyNumberFormat="1" applyFont="1" applyFill="1" applyBorder="1" applyAlignment="1" applyProtection="1">
      <alignment horizontal="right" vertical="center"/>
    </xf>
    <xf numFmtId="3" fontId="87" fillId="0" borderId="0" xfId="3" applyNumberFormat="1" applyFont="1"/>
    <xf numFmtId="3" fontId="85" fillId="0" borderId="0" xfId="1" applyNumberFormat="1" applyFont="1" applyFill="1" applyBorder="1" applyAlignment="1" applyProtection="1">
      <alignment horizontal="right" vertical="center"/>
    </xf>
    <xf numFmtId="3" fontId="85" fillId="0" borderId="0" xfId="3" quotePrefix="1" applyNumberFormat="1" applyFont="1" applyAlignment="1">
      <alignment horizontal="left"/>
    </xf>
    <xf numFmtId="0" fontId="88" fillId="0" borderId="61" xfId="0" applyFont="1" applyBorder="1" applyProtection="1">
      <protection locked="0"/>
    </xf>
    <xf numFmtId="3" fontId="85" fillId="0" borderId="44" xfId="3" applyNumberFormat="1" applyFont="1" applyBorder="1"/>
    <xf numFmtId="0" fontId="77" fillId="0" borderId="45" xfId="2" quotePrefix="1" applyFont="1" applyBorder="1" applyAlignment="1">
      <alignment horizontal="left" vertical="center"/>
    </xf>
    <xf numFmtId="168" fontId="77" fillId="0" borderId="45" xfId="2" quotePrefix="1" applyNumberFormat="1" applyFont="1" applyBorder="1" applyAlignment="1">
      <alignment horizontal="center" vertical="center"/>
    </xf>
    <xf numFmtId="0" fontId="77" fillId="0" borderId="45" xfId="2" applyFont="1" applyBorder="1" applyAlignment="1">
      <alignment horizontal="left" vertical="center"/>
    </xf>
    <xf numFmtId="3" fontId="77" fillId="0" borderId="45" xfId="3" applyNumberFormat="1" applyFont="1" applyBorder="1" applyAlignment="1">
      <alignment horizontal="left"/>
    </xf>
    <xf numFmtId="3" fontId="77" fillId="0" borderId="45" xfId="3" applyNumberFormat="1" applyFont="1" applyBorder="1"/>
    <xf numFmtId="171" fontId="77" fillId="0" borderId="28" xfId="1" applyNumberFormat="1" applyFont="1" applyFill="1" applyBorder="1" applyAlignment="1" applyProtection="1">
      <alignment horizontal="right" vertical="center"/>
    </xf>
    <xf numFmtId="171" fontId="77" fillId="0" borderId="45" xfId="1" applyNumberFormat="1" applyFont="1" applyFill="1" applyBorder="1" applyAlignment="1" applyProtection="1">
      <alignment horizontal="right" vertical="center"/>
    </xf>
    <xf numFmtId="171" fontId="77" fillId="0" borderId="44" xfId="1" applyNumberFormat="1" applyFont="1" applyFill="1" applyBorder="1" applyAlignment="1" applyProtection="1">
      <alignment horizontal="right" vertical="center"/>
    </xf>
    <xf numFmtId="3" fontId="77" fillId="0" borderId="44" xfId="3" applyNumberFormat="1" applyFont="1" applyBorder="1"/>
    <xf numFmtId="0" fontId="82" fillId="0" borderId="3" xfId="4" applyFont="1" applyBorder="1" applyAlignment="1">
      <alignment horizontal="right"/>
    </xf>
    <xf numFmtId="0" fontId="82" fillId="0" borderId="3" xfId="4" quotePrefix="1" applyFont="1" applyBorder="1" applyAlignment="1">
      <alignment horizontal="right"/>
    </xf>
    <xf numFmtId="3" fontId="43" fillId="11" borderId="0" xfId="3" applyNumberFormat="1" applyFont="1" applyFill="1"/>
    <xf numFmtId="3" fontId="12" fillId="0" borderId="15" xfId="3" applyNumberFormat="1" applyBorder="1"/>
    <xf numFmtId="3" fontId="12" fillId="0" borderId="22" xfId="3" applyNumberFormat="1" applyBorder="1"/>
    <xf numFmtId="167" fontId="77" fillId="0" borderId="47" xfId="2" applyNumberFormat="1" applyFont="1" applyBorder="1" applyAlignment="1">
      <alignment horizontal="center" vertical="center"/>
    </xf>
    <xf numFmtId="3" fontId="77" fillId="0" borderId="0" xfId="3" applyNumberFormat="1" applyFont="1" applyAlignment="1">
      <alignment horizontal="right"/>
    </xf>
    <xf numFmtId="3" fontId="85" fillId="0" borderId="14" xfId="1" applyNumberFormat="1" applyFont="1" applyFill="1" applyBorder="1" applyAlignment="1" applyProtection="1">
      <alignment horizontal="right" vertical="center"/>
    </xf>
    <xf numFmtId="3" fontId="87" fillId="0" borderId="15" xfId="3" applyNumberFormat="1" applyFont="1" applyBorder="1"/>
    <xf numFmtId="3" fontId="15" fillId="0" borderId="22" xfId="3" applyNumberFormat="1" applyFont="1" applyBorder="1"/>
    <xf numFmtId="3" fontId="77" fillId="0" borderId="25" xfId="3" applyNumberFormat="1" applyFont="1" applyBorder="1"/>
    <xf numFmtId="0" fontId="1" fillId="0" borderId="0" xfId="0" applyFont="1" applyAlignment="1">
      <alignment vertical="center" wrapText="1"/>
    </xf>
    <xf numFmtId="3" fontId="1" fillId="0" borderId="0" xfId="3" applyNumberFormat="1" applyFont="1" applyAlignment="1">
      <alignment horizontal="left"/>
    </xf>
    <xf numFmtId="0" fontId="1" fillId="0" borderId="0" xfId="0" quotePrefix="1" applyFont="1" applyAlignment="1">
      <alignment horizontal="left" vertical="center" wrapText="1"/>
    </xf>
    <xf numFmtId="0" fontId="91" fillId="0" borderId="0" xfId="0" applyFont="1" applyAlignment="1">
      <alignment vertical="center"/>
    </xf>
    <xf numFmtId="3" fontId="92" fillId="0" borderId="0" xfId="3" applyNumberFormat="1" applyFont="1" applyAlignment="1">
      <alignment horizontal="left"/>
    </xf>
    <xf numFmtId="174" fontId="93" fillId="0" borderId="0" xfId="1" applyNumberFormat="1" applyFont="1" applyFill="1" applyBorder="1" applyAlignment="1" applyProtection="1">
      <alignment horizontal="right" vertical="center"/>
    </xf>
    <xf numFmtId="3" fontId="12" fillId="4" borderId="1" xfId="3" applyNumberFormat="1" applyFill="1" applyBorder="1" applyAlignment="1" applyProtection="1">
      <alignment horizont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171" fontId="12" fillId="0" borderId="0" xfId="1" applyNumberFormat="1" applyFont="1" applyFill="1" applyBorder="1" applyAlignment="1" applyProtection="1">
      <alignment horizontal="center" vertical="center"/>
    </xf>
    <xf numFmtId="0" fontId="94" fillId="0" borderId="0" xfId="0" applyFont="1" applyProtection="1">
      <protection locked="0"/>
    </xf>
    <xf numFmtId="0" fontId="95" fillId="0" borderId="0" xfId="0" applyFont="1" applyProtection="1">
      <protection locked="0"/>
    </xf>
    <xf numFmtId="165" fontId="94" fillId="0" borderId="0" xfId="0" applyNumberFormat="1" applyFont="1" applyAlignment="1" applyProtection="1">
      <alignment horizontal="center"/>
      <protection locked="0"/>
    </xf>
    <xf numFmtId="0" fontId="96" fillId="0" borderId="0" xfId="0" applyFont="1" applyProtection="1">
      <protection locked="0"/>
    </xf>
    <xf numFmtId="0" fontId="94" fillId="0" borderId="1" xfId="0" applyFont="1" applyBorder="1" applyProtection="1">
      <protection locked="0"/>
    </xf>
    <xf numFmtId="0" fontId="94" fillId="0" borderId="4" xfId="0" applyFont="1" applyBorder="1" applyProtection="1">
      <protection locked="0"/>
    </xf>
    <xf numFmtId="165" fontId="94" fillId="4" borderId="1" xfId="0" applyNumberFormat="1" applyFont="1" applyFill="1" applyBorder="1" applyAlignment="1" applyProtection="1">
      <alignment horizontal="center" vertical="center"/>
      <protection locked="0"/>
    </xf>
    <xf numFmtId="0" fontId="97" fillId="0" borderId="1" xfId="0" applyFont="1" applyBorder="1" applyProtection="1">
      <protection locked="0"/>
    </xf>
    <xf numFmtId="0" fontId="97" fillId="0" borderId="4" xfId="0" applyFont="1" applyBorder="1" applyProtection="1">
      <protection locked="0"/>
    </xf>
    <xf numFmtId="165" fontId="97" fillId="4" borderId="1" xfId="0" applyNumberFormat="1" applyFont="1" applyFill="1" applyBorder="1" applyAlignment="1" applyProtection="1">
      <alignment horizontal="center" vertical="center"/>
      <protection locked="0"/>
    </xf>
    <xf numFmtId="172" fontId="14" fillId="0" borderId="0" xfId="1" applyNumberFormat="1" applyFont="1" applyFill="1" applyBorder="1" applyAlignment="1" applyProtection="1">
      <alignment horizontal="right" vertical="center"/>
    </xf>
    <xf numFmtId="176" fontId="12" fillId="0" borderId="30" xfId="1" applyNumberFormat="1" applyFont="1" applyFill="1" applyBorder="1" applyAlignment="1" applyProtection="1">
      <alignment horizontal="right" vertical="center"/>
    </xf>
    <xf numFmtId="0" fontId="70" fillId="0" borderId="0" xfId="0" applyFont="1" applyAlignment="1">
      <alignment vertical="center" wrapText="1"/>
    </xf>
    <xf numFmtId="0" fontId="98" fillId="0" borderId="0" xfId="0" applyFont="1" applyAlignment="1">
      <alignment vertical="center" wrapText="1"/>
    </xf>
    <xf numFmtId="3" fontId="99" fillId="0" borderId="0" xfId="3" applyNumberFormat="1" applyFont="1"/>
    <xf numFmtId="3" fontId="99" fillId="0" borderId="0" xfId="3" applyNumberFormat="1" applyFont="1" applyAlignment="1">
      <alignment horizontal="left"/>
    </xf>
  </cellXfs>
  <cellStyles count="6">
    <cellStyle name="Dezimal_649_Kosten" xfId="1" xr:uid="{00000000-0005-0000-0000-000000000000}"/>
    <cellStyle name="Prozent" xfId="5" builtinId="5"/>
    <cellStyle name="Standard" xfId="0" builtinId="0"/>
    <cellStyle name="Standard_330_PKB" xfId="2" xr:uid="{00000000-0005-0000-0000-000003000000}"/>
    <cellStyle name="Standard_330_Vgl_zentr_dez." xfId="3" xr:uid="{00000000-0005-0000-0000-000004000000}"/>
    <cellStyle name="Standard_738_Varianten" xfId="4" xr:uid="{00000000-0005-0000-0000-000005000000}"/>
  </cellStyles>
  <dxfs count="232">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rgb="FF00B050"/>
      </font>
    </dxf>
    <dxf>
      <font>
        <color rgb="FF00B050"/>
      </font>
    </dxf>
    <dxf>
      <font>
        <color rgb="FF00B050"/>
      </font>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ont>
        <color auto="1"/>
      </font>
      <fill>
        <patternFill>
          <bgColor rgb="FF99CCFF"/>
        </patternFill>
      </fill>
    </dxf>
    <dxf>
      <fill>
        <patternFill>
          <bgColor rgb="FFFF99CC"/>
        </patternFill>
      </fill>
    </dxf>
    <dxf>
      <fill>
        <patternFill>
          <bgColor indexed="10"/>
        </patternFill>
      </fill>
    </dxf>
    <dxf>
      <font>
        <color auto="1"/>
      </font>
      <fill>
        <patternFill>
          <bgColor theme="9" tint="-0.24994659260841701"/>
        </patternFill>
      </fill>
    </dxf>
    <dxf>
      <font>
        <color auto="1"/>
      </font>
      <fill>
        <patternFill>
          <bgColor theme="6" tint="0.39994506668294322"/>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theme="6" tint="0.39994506668294322"/>
        </patternFill>
      </fill>
    </dxf>
    <dxf>
      <font>
        <color auto="1"/>
      </font>
      <fill>
        <patternFill>
          <bgColor theme="9" tint="-0.24994659260841701"/>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theme="9" tint="-0.24994659260841701"/>
        </patternFill>
      </fill>
    </dxf>
    <dxf>
      <font>
        <color auto="1"/>
      </font>
      <fill>
        <patternFill>
          <bgColor theme="6" tint="0.39994506668294322"/>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FF99CC"/>
        </patternFill>
      </fill>
    </dxf>
    <dxf>
      <font>
        <color auto="1"/>
      </font>
      <fill>
        <patternFill>
          <bgColor rgb="FF99CCFF"/>
        </patternFill>
      </fill>
    </dxf>
    <dxf>
      <font>
        <color auto="1"/>
      </font>
      <fill>
        <patternFill>
          <bgColor rgb="FF99CCFF"/>
        </patternFill>
      </fill>
    </dxf>
    <dxf>
      <font>
        <color auto="1"/>
      </font>
      <fill>
        <patternFill>
          <bgColor rgb="FFFF99CC"/>
        </patternFill>
      </fill>
    </dxf>
  </dxfs>
  <tableStyles count="0" defaultTableStyle="TableStyleMedium2" defaultPivotStyle="PivotStyleLight16"/>
  <colors>
    <mruColors>
      <color rgb="FF0000FF"/>
      <color rgb="FF008000"/>
      <color rgb="FF006600"/>
      <color rgb="FFCCC3D0"/>
      <color rgb="FFFF00FF"/>
      <color rgb="FFFF99FF"/>
      <color rgb="FFFF99CC"/>
      <color rgb="FF003300"/>
      <color rgb="FFFFCC6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3.xml"/><Relationship Id="rId18" Type="http://schemas.openxmlformats.org/officeDocument/2006/relationships/chartsheet" Target="chartsheets/sheet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chartsheet" Target="chartsheets/sheet2.xml"/><Relationship Id="rId17" Type="http://schemas.openxmlformats.org/officeDocument/2006/relationships/chartsheet" Target="chartsheets/sheet7.xml"/><Relationship Id="rId2" Type="http://schemas.openxmlformats.org/officeDocument/2006/relationships/worksheet" Target="worksheets/sheet2.xml"/><Relationship Id="rId16" Type="http://schemas.openxmlformats.org/officeDocument/2006/relationships/chartsheet" Target="chartsheets/sheet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5" Type="http://schemas.openxmlformats.org/officeDocument/2006/relationships/worksheet" Target="worksheets/sheet5.xml"/><Relationship Id="rId15" Type="http://schemas.openxmlformats.org/officeDocument/2006/relationships/chartsheet" Target="chartsheets/sheet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a:t>Projektkostenbarwert nach 25 und 50 Jahren</a:t>
            </a:r>
          </a:p>
        </c:rich>
      </c:tx>
      <c:layout>
        <c:manualLayout>
          <c:xMode val="edge"/>
          <c:yMode val="edge"/>
          <c:x val="0.30208326149012393"/>
          <c:y val="2.0202095311441886E-2"/>
        </c:manualLayout>
      </c:layout>
      <c:overlay val="0"/>
      <c:spPr>
        <a:noFill/>
        <a:ln w="25400">
          <a:noFill/>
        </a:ln>
      </c:spPr>
    </c:title>
    <c:autoTitleDeleted val="0"/>
    <c:plotArea>
      <c:layout>
        <c:manualLayout>
          <c:layoutTarget val="inner"/>
          <c:xMode val="edge"/>
          <c:yMode val="edge"/>
          <c:x val="0.14687500000000001"/>
          <c:y val="0.10606060606060606"/>
          <c:w val="0.8420254492121888"/>
          <c:h val="0.68686868686868685"/>
        </c:manualLayout>
      </c:layout>
      <c:barChart>
        <c:barDir val="col"/>
        <c:grouping val="clustered"/>
        <c:varyColors val="0"/>
        <c:ser>
          <c:idx val="1"/>
          <c:order val="0"/>
          <c:tx>
            <c:strRef>
              <c:f>Ergebnis!$J$20</c:f>
              <c:strCache>
                <c:ptCount val="1"/>
                <c:pt idx="0">
                  <c:v>PKBW 25 Jahre</c:v>
                </c:pt>
              </c:strCache>
            </c:strRef>
          </c:tx>
          <c:spPr>
            <a:solidFill>
              <a:srgbClr val="993366"/>
            </a:solidFill>
            <a:ln w="12700">
              <a:solidFill>
                <a:srgbClr val="000000"/>
              </a:solidFill>
              <a:prstDash val="solid"/>
            </a:ln>
          </c:spPr>
          <c:invertIfNegative val="0"/>
          <c:dPt>
            <c:idx val="0"/>
            <c:invertIfNegative val="0"/>
            <c:bubble3D val="0"/>
            <c:spPr>
              <a:gradFill rotWithShape="0">
                <a:gsLst>
                  <a:gs pos="0">
                    <a:srgbClr val="FF0000"/>
                  </a:gs>
                  <a:gs pos="100000">
                    <a:srgbClr val="C0C0C0"/>
                  </a:gs>
                </a:gsLst>
                <a:lin ang="0" scaled="1"/>
              </a:gradFill>
              <a:ln w="3175">
                <a:solidFill>
                  <a:srgbClr val="FF0000"/>
                </a:solidFill>
                <a:prstDash val="solid"/>
              </a:ln>
            </c:spPr>
            <c:extLst>
              <c:ext xmlns:c16="http://schemas.microsoft.com/office/drawing/2014/chart" uri="{C3380CC4-5D6E-409C-BE32-E72D297353CC}">
                <c16:uniqueId val="{00000001-2977-4A69-90E1-1DB4FA4D2DC6}"/>
              </c:ext>
            </c:extLst>
          </c:dPt>
          <c:dPt>
            <c:idx val="1"/>
            <c:invertIfNegative val="0"/>
            <c:bubble3D val="0"/>
            <c:spPr>
              <a:gradFill rotWithShape="0">
                <a:gsLst>
                  <a:gs pos="0">
                    <a:srgbClr val="0000FF"/>
                  </a:gs>
                  <a:gs pos="100000">
                    <a:srgbClr val="C0C0C0"/>
                  </a:gs>
                </a:gsLst>
                <a:lin ang="0" scaled="1"/>
              </a:gradFill>
              <a:ln w="3175">
                <a:solidFill>
                  <a:srgbClr val="0000FF"/>
                </a:solidFill>
                <a:prstDash val="solid"/>
              </a:ln>
            </c:spPr>
            <c:extLst>
              <c:ext xmlns:c16="http://schemas.microsoft.com/office/drawing/2014/chart" uri="{C3380CC4-5D6E-409C-BE32-E72D297353CC}">
                <c16:uniqueId val="{00000003-2977-4A69-90E1-1DB4FA4D2DC6}"/>
              </c:ext>
            </c:extLst>
          </c:dPt>
          <c:dPt>
            <c:idx val="2"/>
            <c:invertIfNegative val="0"/>
            <c:bubble3D val="0"/>
            <c:spPr>
              <a:gradFill rotWithShape="0">
                <a:gsLst>
                  <a:gs pos="0">
                    <a:srgbClr val="00FF00"/>
                  </a:gs>
                  <a:gs pos="100000">
                    <a:srgbClr val="C0C0C0"/>
                  </a:gs>
                </a:gsLst>
                <a:lin ang="0" scaled="1"/>
              </a:gradFill>
              <a:ln w="3175">
                <a:solidFill>
                  <a:srgbClr val="00FF00"/>
                </a:solidFill>
                <a:prstDash val="solid"/>
              </a:ln>
            </c:spPr>
            <c:extLst>
              <c:ext xmlns:c16="http://schemas.microsoft.com/office/drawing/2014/chart" uri="{C3380CC4-5D6E-409C-BE32-E72D297353CC}">
                <c16:uniqueId val="{00000005-2977-4A69-90E1-1DB4FA4D2DC6}"/>
              </c:ext>
            </c:extLst>
          </c:dPt>
          <c:dPt>
            <c:idx val="3"/>
            <c:invertIfNegative val="0"/>
            <c:bubble3D val="0"/>
            <c:spPr>
              <a:gradFill flip="none" rotWithShape="1">
                <a:gsLst>
                  <a:gs pos="0">
                    <a:srgbClr val="FFC000"/>
                  </a:gs>
                  <a:gs pos="100000">
                    <a:schemeClr val="tx1">
                      <a:lumMod val="50000"/>
                      <a:lumOff val="50000"/>
                    </a:schemeClr>
                  </a:gs>
                </a:gsLst>
                <a:lin ang="0" scaled="1"/>
                <a:tileRect/>
              </a:gradFill>
              <a:ln w="3175">
                <a:solidFill>
                  <a:srgbClr val="FFC000"/>
                </a:solidFill>
                <a:prstDash val="solid"/>
              </a:ln>
            </c:spPr>
            <c:extLst>
              <c:ext xmlns:c16="http://schemas.microsoft.com/office/drawing/2014/chart" uri="{C3380CC4-5D6E-409C-BE32-E72D297353CC}">
                <c16:uniqueId val="{0000000A-9F4A-4534-B456-14997955418D}"/>
              </c:ext>
            </c:extLst>
          </c:dPt>
          <c:dPt>
            <c:idx val="4"/>
            <c:invertIfNegative val="0"/>
            <c:bubble3D val="0"/>
            <c:spPr>
              <a:gradFill>
                <a:gsLst>
                  <a:gs pos="0">
                    <a:srgbClr val="FF99FF"/>
                  </a:gs>
                  <a:gs pos="100000">
                    <a:schemeClr val="tx1">
                      <a:lumMod val="50000"/>
                      <a:lumOff val="50000"/>
                    </a:schemeClr>
                  </a:gs>
                </a:gsLst>
                <a:lin ang="0" scaled="1"/>
              </a:gradFill>
              <a:ln w="3175">
                <a:solidFill>
                  <a:srgbClr val="FF99FF"/>
                </a:solidFill>
                <a:prstDash val="solid"/>
              </a:ln>
            </c:spPr>
            <c:extLst>
              <c:ext xmlns:c16="http://schemas.microsoft.com/office/drawing/2014/chart" uri="{C3380CC4-5D6E-409C-BE32-E72D297353CC}">
                <c16:uniqueId val="{0000000C-9F4A-4534-B456-14997955418D}"/>
              </c:ext>
            </c:extLst>
          </c:dPt>
          <c:dLbls>
            <c:spPr>
              <a:solidFill>
                <a:srgbClr val="FFFFFF"/>
              </a:solidFill>
              <a:ln w="25400">
                <a:noFill/>
              </a:ln>
            </c:spPr>
            <c:txPr>
              <a:bodyPr rot="-5400000" vert="horz"/>
              <a:lstStyle/>
              <a:p>
                <a:pPr algn="ctr">
                  <a:defRPr sz="800" b="0" i="0" u="none" strike="noStrike" baseline="0">
                    <a:solidFill>
                      <a:srgbClr val="000000"/>
                    </a:solidFill>
                    <a:latin typeface="Arial"/>
                    <a:ea typeface="Arial"/>
                    <a:cs typeface="Arial"/>
                  </a:defRPr>
                </a:pPr>
                <a:endParaRPr lang="de-DE"/>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Ergebnis!$K$5:$O$5</c:f>
              <c:strCache>
                <c:ptCount val="5"/>
                <c:pt idx="0">
                  <c:v>Orts-KA </c:v>
                </c:pt>
                <c:pt idx="1">
                  <c:v>Überleitung </c:v>
                </c:pt>
                <c:pt idx="2">
                  <c:v>Grundstk-KA </c:v>
                </c:pt>
                <c:pt idx="3">
                  <c:v>Text 4</c:v>
                </c:pt>
                <c:pt idx="4">
                  <c:v>Text 5</c:v>
                </c:pt>
              </c:strCache>
            </c:strRef>
          </c:cat>
          <c:val>
            <c:numRef>
              <c:f>Ergebnis!$K$20:$O$20</c:f>
              <c:numCache>
                <c:formatCode>_-* #,##0_D_-;\-* #,##0\ _D_M_-;_-* "-"\ _D_M_-;_-@_-</c:formatCode>
                <c:ptCount val="5"/>
                <c:pt idx="0">
                  <c:v>0</c:v>
                </c:pt>
                <c:pt idx="1">
                  <c:v>0</c:v>
                </c:pt>
                <c:pt idx="2">
                  <c:v>0</c:v>
                </c:pt>
                <c:pt idx="3">
                  <c:v>0</c:v>
                </c:pt>
                <c:pt idx="4">
                  <c:v>0</c:v>
                </c:pt>
              </c:numCache>
            </c:numRef>
          </c:val>
          <c:extLst>
            <c:ext xmlns:c16="http://schemas.microsoft.com/office/drawing/2014/chart" uri="{C3380CC4-5D6E-409C-BE32-E72D297353CC}">
              <c16:uniqueId val="{00000006-2977-4A69-90E1-1DB4FA4D2DC6}"/>
            </c:ext>
          </c:extLst>
        </c:ser>
        <c:ser>
          <c:idx val="0"/>
          <c:order val="1"/>
          <c:tx>
            <c:strRef>
              <c:f>Ergebnis!$J$21</c:f>
              <c:strCache>
                <c:ptCount val="1"/>
                <c:pt idx="0">
                  <c:v>PKBW 50 Jahre</c:v>
                </c:pt>
              </c:strCache>
            </c:strRef>
          </c:tx>
          <c:spPr>
            <a:gradFill rotWithShape="0">
              <a:gsLst>
                <a:gs pos="0">
                  <a:srgbClr val="FF0000"/>
                </a:gs>
                <a:gs pos="100000">
                  <a:srgbClr val="FFFFFF"/>
                </a:gs>
              </a:gsLst>
              <a:lin ang="0" scaled="1"/>
            </a:gradFill>
            <a:ln w="3175">
              <a:solidFill>
                <a:srgbClr val="FF0000"/>
              </a:solidFill>
              <a:prstDash val="solid"/>
            </a:ln>
          </c:spPr>
          <c:invertIfNegative val="0"/>
          <c:dPt>
            <c:idx val="1"/>
            <c:invertIfNegative val="0"/>
            <c:bubble3D val="0"/>
            <c:spPr>
              <a:gradFill rotWithShape="0">
                <a:gsLst>
                  <a:gs pos="0">
                    <a:srgbClr val="0000FF"/>
                  </a:gs>
                  <a:gs pos="100000">
                    <a:srgbClr val="FFFFFF"/>
                  </a:gs>
                </a:gsLst>
                <a:lin ang="0" scaled="1"/>
              </a:gradFill>
              <a:ln w="3175">
                <a:solidFill>
                  <a:srgbClr val="0000FF"/>
                </a:solidFill>
                <a:prstDash val="solid"/>
              </a:ln>
            </c:spPr>
            <c:extLst>
              <c:ext xmlns:c16="http://schemas.microsoft.com/office/drawing/2014/chart" uri="{C3380CC4-5D6E-409C-BE32-E72D297353CC}">
                <c16:uniqueId val="{00000008-2977-4A69-90E1-1DB4FA4D2DC6}"/>
              </c:ext>
            </c:extLst>
          </c:dPt>
          <c:dPt>
            <c:idx val="2"/>
            <c:invertIfNegative val="0"/>
            <c:bubble3D val="0"/>
            <c:spPr>
              <a:gradFill rotWithShape="0">
                <a:gsLst>
                  <a:gs pos="0">
                    <a:srgbClr val="00FF00"/>
                  </a:gs>
                  <a:gs pos="100000">
                    <a:srgbClr val="FFFFFF"/>
                  </a:gs>
                </a:gsLst>
                <a:lin ang="0" scaled="1"/>
              </a:gradFill>
              <a:ln w="3175">
                <a:solidFill>
                  <a:srgbClr val="00FF00"/>
                </a:solidFill>
                <a:prstDash val="solid"/>
              </a:ln>
            </c:spPr>
            <c:extLst>
              <c:ext xmlns:c16="http://schemas.microsoft.com/office/drawing/2014/chart" uri="{C3380CC4-5D6E-409C-BE32-E72D297353CC}">
                <c16:uniqueId val="{0000000A-2977-4A69-90E1-1DB4FA4D2DC6}"/>
              </c:ext>
            </c:extLst>
          </c:dPt>
          <c:dPt>
            <c:idx val="3"/>
            <c:invertIfNegative val="0"/>
            <c:bubble3D val="0"/>
            <c:spPr>
              <a:gradFill rotWithShape="0">
                <a:gsLst>
                  <a:gs pos="0">
                    <a:srgbClr val="FFC000"/>
                  </a:gs>
                  <a:gs pos="100000">
                    <a:srgbClr val="FFFFFF"/>
                  </a:gs>
                </a:gsLst>
                <a:lin ang="0" scaled="1"/>
              </a:gradFill>
              <a:ln w="3175">
                <a:solidFill>
                  <a:srgbClr val="FFC000"/>
                </a:solidFill>
                <a:prstDash val="solid"/>
              </a:ln>
            </c:spPr>
            <c:extLst>
              <c:ext xmlns:c16="http://schemas.microsoft.com/office/drawing/2014/chart" uri="{C3380CC4-5D6E-409C-BE32-E72D297353CC}">
                <c16:uniqueId val="{0000000B-9F4A-4534-B456-14997955418D}"/>
              </c:ext>
            </c:extLst>
          </c:dPt>
          <c:dPt>
            <c:idx val="4"/>
            <c:invertIfNegative val="0"/>
            <c:bubble3D val="0"/>
            <c:spPr>
              <a:gradFill rotWithShape="0">
                <a:gsLst>
                  <a:gs pos="0">
                    <a:srgbClr val="FF99FF"/>
                  </a:gs>
                  <a:gs pos="100000">
                    <a:srgbClr val="FFFFFF"/>
                  </a:gs>
                </a:gsLst>
                <a:lin ang="0" scaled="1"/>
              </a:gradFill>
              <a:ln w="3175">
                <a:solidFill>
                  <a:srgbClr val="FF99FF"/>
                </a:solidFill>
                <a:prstDash val="solid"/>
              </a:ln>
            </c:spPr>
            <c:extLst>
              <c:ext xmlns:c16="http://schemas.microsoft.com/office/drawing/2014/chart" uri="{C3380CC4-5D6E-409C-BE32-E72D297353CC}">
                <c16:uniqueId val="{0000000D-9F4A-4534-B456-14997955418D}"/>
              </c:ext>
            </c:extLst>
          </c:dPt>
          <c:dLbls>
            <c:spPr>
              <a:solidFill>
                <a:srgbClr val="FFFFFF"/>
              </a:solidFill>
              <a:ln w="25400">
                <a:noFill/>
              </a:ln>
            </c:spPr>
            <c:txPr>
              <a:bodyPr rot="-5400000" vert="horz"/>
              <a:lstStyle/>
              <a:p>
                <a:pPr algn="ctr">
                  <a:defRPr sz="800" b="0" i="0" u="none" strike="noStrike" baseline="0">
                    <a:solidFill>
                      <a:srgbClr val="000000"/>
                    </a:solidFill>
                    <a:latin typeface="Arial"/>
                    <a:ea typeface="Arial"/>
                    <a:cs typeface="Arial"/>
                  </a:defRPr>
                </a:pPr>
                <a:endParaRPr lang="de-DE"/>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Ergebnis!$K$5:$O$5</c:f>
              <c:strCache>
                <c:ptCount val="5"/>
                <c:pt idx="0">
                  <c:v>Orts-KA </c:v>
                </c:pt>
                <c:pt idx="1">
                  <c:v>Überleitung </c:v>
                </c:pt>
                <c:pt idx="2">
                  <c:v>Grundstk-KA </c:v>
                </c:pt>
                <c:pt idx="3">
                  <c:v>Text 4</c:v>
                </c:pt>
                <c:pt idx="4">
                  <c:v>Text 5</c:v>
                </c:pt>
              </c:strCache>
            </c:strRef>
          </c:cat>
          <c:val>
            <c:numRef>
              <c:f>Ergebnis!$K$21:$O$21</c:f>
              <c:numCache>
                <c:formatCode>_-* #,##0_D_-;\-* #,##0\ _D_M_-;_-* "-"\ _D_M_-;_-@_-</c:formatCode>
                <c:ptCount val="5"/>
                <c:pt idx="0">
                  <c:v>0</c:v>
                </c:pt>
                <c:pt idx="1">
                  <c:v>0</c:v>
                </c:pt>
                <c:pt idx="2">
                  <c:v>0</c:v>
                </c:pt>
                <c:pt idx="3">
                  <c:v>0</c:v>
                </c:pt>
                <c:pt idx="4">
                  <c:v>0</c:v>
                </c:pt>
              </c:numCache>
            </c:numRef>
          </c:val>
          <c:extLst>
            <c:ext xmlns:c16="http://schemas.microsoft.com/office/drawing/2014/chart" uri="{C3380CC4-5D6E-409C-BE32-E72D297353CC}">
              <c16:uniqueId val="{0000000B-2977-4A69-90E1-1DB4FA4D2DC6}"/>
            </c:ext>
          </c:extLst>
        </c:ser>
        <c:dLbls>
          <c:showLegendKey val="0"/>
          <c:showVal val="0"/>
          <c:showCatName val="0"/>
          <c:showSerName val="0"/>
          <c:showPercent val="0"/>
          <c:showBubbleSize val="0"/>
        </c:dLbls>
        <c:gapWidth val="150"/>
        <c:axId val="113403392"/>
        <c:axId val="113404928"/>
      </c:barChart>
      <c:catAx>
        <c:axId val="11340339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3404928"/>
        <c:crosses val="autoZero"/>
        <c:auto val="1"/>
        <c:lblAlgn val="ctr"/>
        <c:lblOffset val="100"/>
        <c:tickLblSkip val="1"/>
        <c:tickMarkSkip val="1"/>
        <c:noMultiLvlLbl val="0"/>
      </c:catAx>
      <c:valAx>
        <c:axId val="113404928"/>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PKBW  EURO</a:t>
                </a:r>
              </a:p>
            </c:rich>
          </c:tx>
          <c:layout>
            <c:manualLayout>
              <c:xMode val="edge"/>
              <c:yMode val="edge"/>
              <c:x val="0"/>
              <c:y val="0.3703703310273399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3403392"/>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a:t>Projektkostenbarwerte über 50 Jahre</a:t>
            </a:r>
          </a:p>
        </c:rich>
      </c:tx>
      <c:layout>
        <c:manualLayout>
          <c:xMode val="edge"/>
          <c:yMode val="edge"/>
          <c:x val="0.33541664956114065"/>
          <c:y val="2.0236087689713321E-2"/>
        </c:manualLayout>
      </c:layout>
      <c:overlay val="0"/>
      <c:spPr>
        <a:noFill/>
        <a:ln w="25400">
          <a:noFill/>
        </a:ln>
      </c:spPr>
    </c:title>
    <c:autoTitleDeleted val="0"/>
    <c:plotArea>
      <c:layout>
        <c:manualLayout>
          <c:layoutTarget val="inner"/>
          <c:xMode val="edge"/>
          <c:yMode val="edge"/>
          <c:x val="0.12879457880942813"/>
          <c:y val="9.8936325479667769E-2"/>
          <c:w val="0.84375"/>
          <c:h val="0.7200674536256324"/>
        </c:manualLayout>
      </c:layout>
      <c:lineChart>
        <c:grouping val="standard"/>
        <c:varyColors val="0"/>
        <c:ser>
          <c:idx val="0"/>
          <c:order val="0"/>
          <c:tx>
            <c:strRef>
              <c:f>'PKBW Zeit'!$B$1</c:f>
              <c:strCache>
                <c:ptCount val="1"/>
                <c:pt idx="0">
                  <c:v>Orts-KA </c:v>
                </c:pt>
              </c:strCache>
            </c:strRef>
          </c:tx>
          <c:spPr>
            <a:ln w="25400">
              <a:solidFill>
                <a:srgbClr val="FF0000"/>
              </a:solidFill>
              <a:prstDash val="solid"/>
            </a:ln>
          </c:spPr>
          <c:marker>
            <c:symbol val="square"/>
            <c:size val="7"/>
            <c:spPr>
              <a:solidFill>
                <a:srgbClr val="FF0000">
                  <a:alpha val="20000"/>
                </a:srgbClr>
              </a:solidFill>
              <a:ln>
                <a:solidFill>
                  <a:srgbClr val="FF0000"/>
                </a:solidFill>
                <a:prstDash val="solid"/>
              </a:ln>
            </c:spPr>
          </c:marker>
          <c:dLbls>
            <c:dLbl>
              <c:idx val="0"/>
              <c:layout>
                <c:manualLayout>
                  <c:x val="-8.368282215198598E-3"/>
                  <c:y val="-5.1575085724059569E-2"/>
                </c:manualLayout>
              </c:layout>
              <c:spPr>
                <a:solidFill>
                  <a:srgbClr val="FF0000"/>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F-40D4-A90E-0CEB9BBF58E6}"/>
                </c:ext>
              </c:extLst>
            </c:dLbl>
            <c:dLbl>
              <c:idx val="50"/>
              <c:layout>
                <c:manualLayout>
                  <c:x val="-5.7914509473294074E-2"/>
                  <c:y val="-5.7621975892305916E-2"/>
                </c:manualLayout>
              </c:layout>
              <c:spPr>
                <a:solidFill>
                  <a:srgbClr val="FF0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DD-49F3-850B-49661AECB36C}"/>
                </c:ext>
              </c:extLst>
            </c:dLbl>
            <c:dLbl>
              <c:idx val="100"/>
              <c:layout>
                <c:manualLayout>
                  <c:x val="-2.820120658099665E-2"/>
                  <c:y val="4.8465766388818068E-2"/>
                </c:manualLayout>
              </c:layout>
              <c:spPr>
                <a:solidFill>
                  <a:srgbClr val="FF0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DD-49F3-850B-49661AECB3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Zeit'!$M$6:$M$106</c:f>
              <c:numCache>
                <c:formatCode>#,##0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2-2BDD-49F3-850B-49661AECB36C}"/>
            </c:ext>
          </c:extLst>
        </c:ser>
        <c:ser>
          <c:idx val="1"/>
          <c:order val="1"/>
          <c:tx>
            <c:strRef>
              <c:f>'PKBW Zeit'!$Z$3:$Z$3</c:f>
              <c:strCache>
                <c:ptCount val="1"/>
                <c:pt idx="0">
                  <c:v>Überleitung </c:v>
                </c:pt>
              </c:strCache>
              <c:extLst xmlns:c15="http://schemas.microsoft.com/office/drawing/2012/chart"/>
            </c:strRef>
          </c:tx>
          <c:spPr>
            <a:ln w="25400">
              <a:solidFill>
                <a:srgbClr val="0000FF"/>
              </a:solidFill>
              <a:prstDash val="solid"/>
            </a:ln>
          </c:spPr>
          <c:marker>
            <c:symbol val="circle"/>
            <c:size val="7"/>
            <c:spPr>
              <a:solidFill>
                <a:srgbClr val="0000FF">
                  <a:alpha val="20000"/>
                </a:srgbClr>
              </a:solidFill>
              <a:ln>
                <a:solidFill>
                  <a:srgbClr val="0000FF"/>
                </a:solidFill>
                <a:prstDash val="solid"/>
              </a:ln>
            </c:spPr>
          </c:marker>
          <c:dLbls>
            <c:dLbl>
              <c:idx val="0"/>
              <c:layout>
                <c:manualLayout>
                  <c:x val="-5.9722222222222232E-2"/>
                  <c:y val="-1.3483146067415731E-2"/>
                </c:manualLayout>
              </c:layout>
              <c:spPr>
                <a:solidFill>
                  <a:srgbClr val="0000FF"/>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E97F-40D4-A90E-0CEB9BBF58E6}"/>
                </c:ext>
              </c:extLst>
            </c:dLbl>
            <c:dLbl>
              <c:idx val="50"/>
              <c:layout>
                <c:manualLayout>
                  <c:x val="-3.6062445319335085E-2"/>
                  <c:y val="-1.0530782300341048E-2"/>
                </c:manualLayout>
              </c:layout>
              <c:spPr>
                <a:solidFill>
                  <a:srgbClr val="0000FF"/>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2BDD-49F3-850B-49661AECB36C}"/>
                </c:ext>
              </c:extLst>
            </c:dLbl>
            <c:dLbl>
              <c:idx val="100"/>
              <c:spPr>
                <a:solidFill>
                  <a:srgbClr val="0000FF"/>
                </a:solidFill>
                <a:ln w="25400">
                  <a:noFill/>
                </a:ln>
              </c:spPr>
              <c:txPr>
                <a:bodyPr/>
                <a:lstStyle/>
                <a:p>
                  <a:pPr>
                    <a:defRPr sz="800" b="1" i="0" u="none" strike="noStrike" baseline="0">
                      <a:solidFill>
                        <a:srgbClr val="FFFFFF"/>
                      </a:solidFill>
                      <a:latin typeface="Arial"/>
                      <a:ea typeface="Arial"/>
                      <a:cs typeface="Arial"/>
                    </a:defRPr>
                  </a:pPr>
                  <a:endParaRPr lang="de-DE"/>
                </a:p>
              </c:txPr>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2BDD-49F3-850B-49661AECB36C}"/>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extLst xmlns:c15="http://schemas.microsoft.com/office/drawing/2012/chart"/>
            </c:numRef>
          </c:cat>
          <c:val>
            <c:numRef>
              <c:f>'PKBW Zeit'!$Z$6:$Z$106</c:f>
              <c:numCache>
                <c:formatCode>#,##0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2BDD-49F3-850B-49661AECB36C}"/>
            </c:ext>
          </c:extLst>
        </c:ser>
        <c:ser>
          <c:idx val="2"/>
          <c:order val="2"/>
          <c:tx>
            <c:strRef>
              <c:f>'PKBW Zeit'!$AB$1</c:f>
              <c:strCache>
                <c:ptCount val="1"/>
                <c:pt idx="0">
                  <c:v>Grundstk-KA </c:v>
                </c:pt>
              </c:strCache>
            </c:strRef>
          </c:tx>
          <c:spPr>
            <a:ln w="25400">
              <a:solidFill>
                <a:srgbClr val="008000"/>
              </a:solidFill>
              <a:prstDash val="solid"/>
            </a:ln>
          </c:spPr>
          <c:marker>
            <c:symbol val="triangle"/>
            <c:size val="7"/>
            <c:spPr>
              <a:solidFill>
                <a:srgbClr val="006600">
                  <a:alpha val="20000"/>
                </a:srgbClr>
              </a:solidFill>
              <a:ln>
                <a:solidFill>
                  <a:srgbClr val="008000"/>
                </a:solidFill>
                <a:prstDash val="solid"/>
              </a:ln>
            </c:spPr>
          </c:marker>
          <c:dLbls>
            <c:dLbl>
              <c:idx val="0"/>
              <c:layout>
                <c:manualLayout>
                  <c:x val="-9.7354243440023313E-3"/>
                  <c:y val="-5.6145150808260547E-2"/>
                </c:manualLayout>
              </c:layout>
              <c:spPr>
                <a:solidFill>
                  <a:srgbClr val="008000"/>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F-40D4-A90E-0CEB9BBF58E6}"/>
                </c:ext>
              </c:extLst>
            </c:dLbl>
            <c:dLbl>
              <c:idx val="50"/>
              <c:layout>
                <c:manualLayout>
                  <c:x val="-5.7572177608720687E-2"/>
                  <c:y val="4.6782560388504923E-2"/>
                </c:manualLayout>
              </c:layout>
              <c:spPr>
                <a:solidFill>
                  <a:srgbClr val="008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DD-49F3-850B-49661AECB36C}"/>
                </c:ext>
              </c:extLst>
            </c:dLbl>
            <c:dLbl>
              <c:idx val="100"/>
              <c:layout>
                <c:manualLayout>
                  <c:x val="-2.6813519127440344E-2"/>
                  <c:y val="-2.3781159896088644E-2"/>
                </c:manualLayout>
              </c:layout>
              <c:spPr>
                <a:solidFill>
                  <a:srgbClr val="008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DD-49F3-850B-49661AECB3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Zeit'!$AM$6:$AM$106</c:f>
              <c:numCache>
                <c:formatCode>#,##0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8-2BDD-49F3-850B-49661AECB36C}"/>
            </c:ext>
          </c:extLst>
        </c:ser>
        <c:ser>
          <c:idx val="3"/>
          <c:order val="3"/>
          <c:tx>
            <c:strRef>
              <c:f>'PKBW Zeit'!$AO$1</c:f>
              <c:strCache>
                <c:ptCount val="1"/>
                <c:pt idx="0">
                  <c:v>Text 4</c:v>
                </c:pt>
              </c:strCache>
              <c:extLst xmlns:c15="http://schemas.microsoft.com/office/drawing/2012/chart"/>
            </c:strRef>
          </c:tx>
          <c:spPr>
            <a:ln w="25400">
              <a:solidFill>
                <a:srgbClr val="FFC000">
                  <a:alpha val="70000"/>
                </a:srgbClr>
              </a:solidFill>
            </a:ln>
          </c:spPr>
          <c:marker>
            <c:symbol val="diamond"/>
            <c:size val="7"/>
            <c:spPr>
              <a:solidFill>
                <a:srgbClr val="FFC000">
                  <a:alpha val="20000"/>
                </a:srgbClr>
              </a:solidFill>
              <a:ln>
                <a:solidFill>
                  <a:srgbClr val="FFC000"/>
                </a:solidFill>
              </a:ln>
            </c:spPr>
          </c:marker>
          <c:dLbls>
            <c:dLbl>
              <c:idx val="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E97F-40D4-A90E-0CEB9BBF58E6}"/>
                </c:ext>
              </c:extLst>
            </c:dLbl>
            <c:dLbl>
              <c:idx val="5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F96E-4B4E-A4AF-3BE28ED18176}"/>
                </c:ext>
              </c:extLst>
            </c:dLbl>
            <c:dLbl>
              <c:idx val="10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F96E-4B4E-A4AF-3BE28ED18176}"/>
                </c:ext>
              </c:extLst>
            </c:dLbl>
            <c:spPr>
              <a:solidFill>
                <a:srgbClr val="FFC000"/>
              </a:solidFill>
              <a:ln>
                <a:noFill/>
              </a:ln>
              <a:effectLst/>
            </c:spPr>
            <c:txPr>
              <a:bodyPr wrap="square" lIns="38100" tIns="19050" rIns="38100" bIns="19050" anchor="ctr">
                <a:spAutoFit/>
              </a:bodyPr>
              <a:lstStyle/>
              <a:p>
                <a:pPr>
                  <a:defRPr sz="800" b="1"/>
                </a:pPr>
                <a:endParaRPr lang="de-DE"/>
              </a:p>
            </c:txPr>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extLst xmlns:c15="http://schemas.microsoft.com/office/drawing/2012/chart"/>
            </c:numRef>
          </c:cat>
          <c:val>
            <c:numRef>
              <c:f>'PKBW Zeit'!$AZ$6:$AZ$106</c:f>
              <c:numCache>
                <c:formatCode>#,##0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2A25-4338-BB19-F2448C3840D5}"/>
            </c:ext>
          </c:extLst>
        </c:ser>
        <c:ser>
          <c:idx val="4"/>
          <c:order val="4"/>
          <c:tx>
            <c:strRef>
              <c:f>'PKBW Zeit'!$BB$1</c:f>
              <c:strCache>
                <c:ptCount val="1"/>
                <c:pt idx="0">
                  <c:v>Text 5</c:v>
                </c:pt>
              </c:strCache>
              <c:extLst xmlns:c15="http://schemas.microsoft.com/office/drawing/2012/chart"/>
            </c:strRef>
          </c:tx>
          <c:spPr>
            <a:ln w="25400">
              <a:solidFill>
                <a:srgbClr val="FF99FF"/>
              </a:solidFill>
            </a:ln>
          </c:spPr>
          <c:marker>
            <c:symbol val="star"/>
            <c:size val="7"/>
            <c:spPr>
              <a:noFill/>
              <a:ln>
                <a:solidFill>
                  <a:srgbClr val="FF99FF"/>
                </a:solidFill>
              </a:ln>
            </c:spPr>
          </c:marker>
          <c:dLbls>
            <c:dLbl>
              <c:idx val="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E97F-40D4-A90E-0CEB9BBF58E6}"/>
                </c:ext>
              </c:extLst>
            </c:dLbl>
            <c:dLbl>
              <c:idx val="5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F96E-4B4E-A4AF-3BE28ED18176}"/>
                </c:ext>
              </c:extLst>
            </c:dLbl>
            <c:dLbl>
              <c:idx val="100"/>
              <c:dLblPos val="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F96E-4B4E-A4AF-3BE28ED18176}"/>
                </c:ext>
              </c:extLst>
            </c:dLbl>
            <c:spPr>
              <a:solidFill>
                <a:srgbClr val="FF99FF"/>
              </a:solidFill>
              <a:ln>
                <a:noFill/>
              </a:ln>
              <a:effectLst/>
            </c:spPr>
            <c:txPr>
              <a:bodyPr wrap="square" lIns="38100" tIns="19050" rIns="38100" bIns="19050" anchor="ctr">
                <a:spAutoFit/>
              </a:bodyPr>
              <a:lstStyle/>
              <a:p>
                <a:pPr>
                  <a:defRPr sz="800" b="1">
                    <a:solidFill>
                      <a:sysClr val="windowText" lastClr="000000"/>
                    </a:solidFill>
                  </a:defRPr>
                </a:pPr>
                <a:endParaRPr lang="de-DE"/>
              </a:p>
            </c:txPr>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extLst xmlns:c15="http://schemas.microsoft.com/office/drawing/2012/chart"/>
            </c:numRef>
          </c:cat>
          <c:val>
            <c:numRef>
              <c:f>'PKBW Zeit'!$BM$6:$BM$106</c:f>
              <c:numCache>
                <c:formatCode>#,##0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2A25-4338-BB19-F2448C3840D5}"/>
            </c:ext>
          </c:extLst>
        </c:ser>
        <c:dLbls>
          <c:showLegendKey val="0"/>
          <c:showVal val="0"/>
          <c:showCatName val="0"/>
          <c:showSerName val="0"/>
          <c:showPercent val="0"/>
          <c:showBubbleSize val="0"/>
        </c:dLbls>
        <c:marker val="1"/>
        <c:smooth val="0"/>
        <c:axId val="100415360"/>
        <c:axId val="100433920"/>
        <c:extLst/>
      </c:lineChart>
      <c:catAx>
        <c:axId val="100415360"/>
        <c:scaling>
          <c:orientation val="minMax"/>
        </c:scaling>
        <c:delete val="0"/>
        <c:axPos val="b"/>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Jahr</a:t>
                </a:r>
              </a:p>
            </c:rich>
          </c:tx>
          <c:layout>
            <c:manualLayout>
              <c:xMode val="edge"/>
              <c:yMode val="edge"/>
              <c:x val="0.54375002394773642"/>
              <c:y val="0.8870151770657672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00433920"/>
        <c:crosses val="autoZero"/>
        <c:auto val="1"/>
        <c:lblAlgn val="ctr"/>
        <c:lblOffset val="100"/>
        <c:tickLblSkip val="10"/>
        <c:tickMarkSkip val="10"/>
        <c:noMultiLvlLbl val="0"/>
      </c:catAx>
      <c:valAx>
        <c:axId val="100433920"/>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PKBW   EURO</a:t>
                </a:r>
              </a:p>
            </c:rich>
          </c:tx>
          <c:layout>
            <c:manualLayout>
              <c:xMode val="edge"/>
              <c:yMode val="edge"/>
              <c:x val="0"/>
              <c:y val="0.3473861720067453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00415360"/>
        <c:crosses val="autoZero"/>
        <c:crossBetween val="midCat"/>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span"/>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sz="1400" b="1" i="0" u="none" strike="noStrike" baseline="0">
                <a:solidFill>
                  <a:srgbClr val="000000"/>
                </a:solidFill>
                <a:latin typeface="Arial"/>
                <a:cs typeface="Arial"/>
              </a:rPr>
              <a:t>Nutzwertkosten nach 25 und 50 Jahren</a:t>
            </a:r>
            <a:endParaRPr lang="de-DE" sz="1400" b="0" i="0" u="none" strike="noStrike" baseline="0">
              <a:solidFill>
                <a:srgbClr val="000000"/>
              </a:solidFill>
              <a:latin typeface="Arial"/>
              <a:cs typeface="Arial"/>
            </a:endParaRPr>
          </a:p>
          <a:p>
            <a:pPr>
              <a:defRPr sz="1400" b="0" i="0" u="none" strike="noStrike" baseline="0">
                <a:solidFill>
                  <a:srgbClr val="000000"/>
                </a:solidFill>
                <a:latin typeface="Arial"/>
                <a:ea typeface="Arial"/>
                <a:cs typeface="Arial"/>
              </a:defRPr>
            </a:pPr>
            <a:r>
              <a:rPr lang="de-DE" sz="1200" b="0" i="0" u="none" strike="noStrike" baseline="0">
                <a:solidFill>
                  <a:srgbClr val="000000"/>
                </a:solidFill>
                <a:latin typeface="Arial"/>
                <a:cs typeface="Arial"/>
              </a:rPr>
              <a:t>(Nutzwertkosten = Nutzwert / (Projektkostenbarwert / 1.000))</a:t>
            </a:r>
          </a:p>
          <a:p>
            <a:pPr>
              <a:defRPr sz="1400" b="0" i="0" u="none" strike="noStrike" baseline="0">
                <a:solidFill>
                  <a:srgbClr val="000000"/>
                </a:solidFill>
                <a:latin typeface="Arial"/>
                <a:ea typeface="Arial"/>
                <a:cs typeface="Arial"/>
              </a:defRPr>
            </a:pPr>
            <a:r>
              <a:rPr lang="de-DE" sz="1200" b="0" i="0" u="none" strike="noStrike" baseline="0">
                <a:solidFill>
                  <a:srgbClr val="000000"/>
                </a:solidFill>
                <a:latin typeface="Arial"/>
                <a:cs typeface="Arial"/>
              </a:rPr>
              <a:t>- der höhere Wert ist der bessere -</a:t>
            </a:r>
          </a:p>
        </c:rich>
      </c:tx>
      <c:layout>
        <c:manualLayout>
          <c:xMode val="edge"/>
          <c:yMode val="edge"/>
          <c:x val="0.28541673166766562"/>
          <c:y val="0"/>
        </c:manualLayout>
      </c:layout>
      <c:overlay val="0"/>
      <c:spPr>
        <a:noFill/>
        <a:ln w="25400">
          <a:noFill/>
        </a:ln>
      </c:spPr>
    </c:title>
    <c:autoTitleDeleted val="0"/>
    <c:plotArea>
      <c:layout>
        <c:manualLayout>
          <c:layoutTarget val="inner"/>
          <c:xMode val="edge"/>
          <c:yMode val="edge"/>
          <c:x val="0.10729166666666666"/>
          <c:y val="0.14814814814814814"/>
          <c:w val="0.87883389186133209"/>
          <c:h val="0.71043771043771042"/>
        </c:manualLayout>
      </c:layout>
      <c:barChart>
        <c:barDir val="col"/>
        <c:grouping val="clustered"/>
        <c:varyColors val="0"/>
        <c:ser>
          <c:idx val="0"/>
          <c:order val="0"/>
          <c:tx>
            <c:strRef>
              <c:f>Ergebnis!$J$25</c:f>
              <c:strCache>
                <c:ptCount val="1"/>
                <c:pt idx="0">
                  <c:v>Nutzwertkosten 25 J</c:v>
                </c:pt>
              </c:strCache>
            </c:strRef>
          </c:tx>
          <c:spPr>
            <a:gradFill rotWithShape="0">
              <a:gsLst>
                <a:gs pos="0">
                  <a:srgbClr val="FF0000"/>
                </a:gs>
                <a:gs pos="100000">
                  <a:srgbClr val="FFFFFF"/>
                </a:gs>
              </a:gsLst>
              <a:lin ang="0" scaled="1"/>
            </a:gradFill>
            <a:ln w="3175">
              <a:solidFill>
                <a:srgbClr val="FF0000"/>
              </a:solidFill>
              <a:prstDash val="solid"/>
            </a:ln>
          </c:spPr>
          <c:invertIfNegative val="0"/>
          <c:dPt>
            <c:idx val="0"/>
            <c:invertIfNegative val="0"/>
            <c:bubble3D val="0"/>
            <c:spPr>
              <a:gradFill rotWithShape="0">
                <a:gsLst>
                  <a:gs pos="0">
                    <a:srgbClr val="FF0000"/>
                  </a:gs>
                  <a:gs pos="100000">
                    <a:srgbClr val="C0C0C0"/>
                  </a:gs>
                </a:gsLst>
                <a:lin ang="0" scaled="1"/>
              </a:gradFill>
              <a:ln w="3175">
                <a:solidFill>
                  <a:srgbClr val="FF0000"/>
                </a:solidFill>
                <a:prstDash val="solid"/>
              </a:ln>
            </c:spPr>
            <c:extLst>
              <c:ext xmlns:c16="http://schemas.microsoft.com/office/drawing/2014/chart" uri="{C3380CC4-5D6E-409C-BE32-E72D297353CC}">
                <c16:uniqueId val="{00000001-3248-410A-BF5B-02BF94F3A236}"/>
              </c:ext>
            </c:extLst>
          </c:dPt>
          <c:dPt>
            <c:idx val="1"/>
            <c:invertIfNegative val="0"/>
            <c:bubble3D val="0"/>
            <c:spPr>
              <a:gradFill rotWithShape="0">
                <a:gsLst>
                  <a:gs pos="0">
                    <a:srgbClr val="0000FF"/>
                  </a:gs>
                  <a:gs pos="100000">
                    <a:srgbClr val="C0C0C0"/>
                  </a:gs>
                </a:gsLst>
                <a:lin ang="0" scaled="1"/>
              </a:gradFill>
              <a:ln w="3175">
                <a:solidFill>
                  <a:srgbClr val="0000FF"/>
                </a:solidFill>
                <a:prstDash val="solid"/>
              </a:ln>
            </c:spPr>
            <c:extLst>
              <c:ext xmlns:c16="http://schemas.microsoft.com/office/drawing/2014/chart" uri="{C3380CC4-5D6E-409C-BE32-E72D297353CC}">
                <c16:uniqueId val="{00000003-3248-410A-BF5B-02BF94F3A236}"/>
              </c:ext>
            </c:extLst>
          </c:dPt>
          <c:dPt>
            <c:idx val="2"/>
            <c:invertIfNegative val="0"/>
            <c:bubble3D val="0"/>
            <c:spPr>
              <a:gradFill rotWithShape="0">
                <a:gsLst>
                  <a:gs pos="0">
                    <a:srgbClr val="00FF00"/>
                  </a:gs>
                  <a:gs pos="100000">
                    <a:srgbClr val="C0C0C0"/>
                  </a:gs>
                </a:gsLst>
                <a:lin ang="0" scaled="1"/>
              </a:gradFill>
              <a:ln w="3175">
                <a:solidFill>
                  <a:srgbClr val="00FF00"/>
                </a:solidFill>
                <a:prstDash val="solid"/>
              </a:ln>
            </c:spPr>
            <c:extLst>
              <c:ext xmlns:c16="http://schemas.microsoft.com/office/drawing/2014/chart" uri="{C3380CC4-5D6E-409C-BE32-E72D297353CC}">
                <c16:uniqueId val="{00000005-3248-410A-BF5B-02BF94F3A236}"/>
              </c:ext>
            </c:extLst>
          </c:dPt>
          <c:dPt>
            <c:idx val="3"/>
            <c:invertIfNegative val="0"/>
            <c:bubble3D val="0"/>
            <c:spPr>
              <a:gradFill rotWithShape="0">
                <a:gsLst>
                  <a:gs pos="0">
                    <a:srgbClr val="FFC000"/>
                  </a:gs>
                  <a:gs pos="100000">
                    <a:schemeClr val="tx1">
                      <a:lumMod val="50000"/>
                      <a:lumOff val="50000"/>
                    </a:schemeClr>
                  </a:gs>
                </a:gsLst>
                <a:lin ang="0" scaled="1"/>
              </a:gradFill>
              <a:ln w="3175">
                <a:solidFill>
                  <a:srgbClr val="FFC000"/>
                </a:solidFill>
                <a:prstDash val="solid"/>
              </a:ln>
            </c:spPr>
            <c:extLst>
              <c:ext xmlns:c16="http://schemas.microsoft.com/office/drawing/2014/chart" uri="{C3380CC4-5D6E-409C-BE32-E72D297353CC}">
                <c16:uniqueId val="{0000000C-55BC-46B5-B99E-2115E756F063}"/>
              </c:ext>
            </c:extLst>
          </c:dPt>
          <c:dPt>
            <c:idx val="4"/>
            <c:invertIfNegative val="0"/>
            <c:bubble3D val="0"/>
            <c:spPr>
              <a:gradFill rotWithShape="0">
                <a:gsLst>
                  <a:gs pos="0">
                    <a:srgbClr val="FF99FF"/>
                  </a:gs>
                  <a:gs pos="100000">
                    <a:schemeClr val="tx1">
                      <a:lumMod val="50000"/>
                      <a:lumOff val="50000"/>
                    </a:schemeClr>
                  </a:gs>
                </a:gsLst>
                <a:lin ang="0" scaled="1"/>
              </a:gradFill>
              <a:ln w="3175">
                <a:solidFill>
                  <a:srgbClr val="FF99FF"/>
                </a:solidFill>
                <a:prstDash val="solid"/>
              </a:ln>
            </c:spPr>
            <c:extLst>
              <c:ext xmlns:c16="http://schemas.microsoft.com/office/drawing/2014/chart" uri="{C3380CC4-5D6E-409C-BE32-E72D297353CC}">
                <c16:uniqueId val="{0000000E-55BC-46B5-B99E-2115E756F063}"/>
              </c:ext>
            </c:extLst>
          </c:dPt>
          <c:dLbls>
            <c:spPr>
              <a:solidFill>
                <a:srgbClr val="FFFFFF"/>
              </a:solidFill>
              <a:ln w="25400">
                <a:noFill/>
              </a:ln>
            </c:spPr>
            <c:txPr>
              <a:bodyPr rot="-5400000" vert="horz"/>
              <a:lstStyle/>
              <a:p>
                <a:pPr algn="ctr">
                  <a:defRPr sz="800" b="0" i="0" u="none" strike="noStrike" baseline="0">
                    <a:solidFill>
                      <a:srgbClr val="000000"/>
                    </a:solidFill>
                    <a:latin typeface="Arial"/>
                    <a:ea typeface="Arial"/>
                    <a:cs typeface="Arial"/>
                  </a:defRPr>
                </a:pPr>
                <a:endParaRPr lang="de-DE"/>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Ergebnis!$K$5:$O$5</c:f>
              <c:strCache>
                <c:ptCount val="5"/>
                <c:pt idx="0">
                  <c:v>Orts-KA </c:v>
                </c:pt>
                <c:pt idx="1">
                  <c:v>Überleitung </c:v>
                </c:pt>
                <c:pt idx="2">
                  <c:v>Grundstk-KA </c:v>
                </c:pt>
                <c:pt idx="3">
                  <c:v>Text 4</c:v>
                </c:pt>
                <c:pt idx="4">
                  <c:v>Text 5</c:v>
                </c:pt>
              </c:strCache>
            </c:strRef>
          </c:cat>
          <c:val>
            <c:numRef>
              <c:f>Ergebnis!$K$25:$O$25</c:f>
              <c:numCache>
                <c:formatCode>_-* #,##0.000_D_-;\-* #,##0.000\ _D_M_-;_-* "-"\ _D_M_-;_-@_-</c:formatCode>
                <c:ptCount val="5"/>
                <c:pt idx="0">
                  <c:v>0</c:v>
                </c:pt>
                <c:pt idx="1">
                  <c:v>0</c:v>
                </c:pt>
                <c:pt idx="2">
                  <c:v>0</c:v>
                </c:pt>
                <c:pt idx="3">
                  <c:v>0</c:v>
                </c:pt>
                <c:pt idx="4">
                  <c:v>0</c:v>
                </c:pt>
              </c:numCache>
            </c:numRef>
          </c:val>
          <c:extLst>
            <c:ext xmlns:c16="http://schemas.microsoft.com/office/drawing/2014/chart" uri="{C3380CC4-5D6E-409C-BE32-E72D297353CC}">
              <c16:uniqueId val="{00000006-3248-410A-BF5B-02BF94F3A236}"/>
            </c:ext>
          </c:extLst>
        </c:ser>
        <c:ser>
          <c:idx val="1"/>
          <c:order val="1"/>
          <c:tx>
            <c:strRef>
              <c:f>Ergebnis!$J$26</c:f>
              <c:strCache>
                <c:ptCount val="1"/>
                <c:pt idx="0">
                  <c:v>Nutzwertkosten 50 J</c:v>
                </c:pt>
              </c:strCache>
            </c:strRef>
          </c:tx>
          <c:spPr>
            <a:solidFill>
              <a:srgbClr val="993366"/>
            </a:solidFill>
            <a:ln w="12700">
              <a:solidFill>
                <a:srgbClr val="000000"/>
              </a:solidFill>
              <a:prstDash val="solid"/>
            </a:ln>
          </c:spPr>
          <c:invertIfNegative val="0"/>
          <c:dPt>
            <c:idx val="0"/>
            <c:invertIfNegative val="0"/>
            <c:bubble3D val="0"/>
            <c:spPr>
              <a:gradFill rotWithShape="0">
                <a:gsLst>
                  <a:gs pos="0">
                    <a:srgbClr val="FF0000"/>
                  </a:gs>
                  <a:gs pos="100000">
                    <a:srgbClr val="FFFFFF"/>
                  </a:gs>
                </a:gsLst>
                <a:lin ang="0" scaled="1"/>
              </a:gradFill>
              <a:ln w="3175">
                <a:solidFill>
                  <a:srgbClr val="FF0000"/>
                </a:solidFill>
                <a:prstDash val="solid"/>
              </a:ln>
            </c:spPr>
            <c:extLst>
              <c:ext xmlns:c16="http://schemas.microsoft.com/office/drawing/2014/chart" uri="{C3380CC4-5D6E-409C-BE32-E72D297353CC}">
                <c16:uniqueId val="{00000008-3248-410A-BF5B-02BF94F3A236}"/>
              </c:ext>
            </c:extLst>
          </c:dPt>
          <c:dPt>
            <c:idx val="1"/>
            <c:invertIfNegative val="0"/>
            <c:bubble3D val="0"/>
            <c:spPr>
              <a:gradFill rotWithShape="0">
                <a:gsLst>
                  <a:gs pos="0">
                    <a:srgbClr xmlns:mc="http://schemas.openxmlformats.org/markup-compatibility/2006" xmlns:a14="http://schemas.microsoft.com/office/drawing/2010/main" val="0000FF" mc:Ignorable="a14" a14:legacySpreadsheetColorIndex="12"/>
                  </a:gs>
                  <a:gs pos="100000">
                    <a:srgbClr xmlns:mc="http://schemas.openxmlformats.org/markup-compatibility/2006" xmlns:a14="http://schemas.microsoft.com/office/drawing/2010/main" val="FFFFFF" mc:Ignorable="a14" a14:legacySpreadsheetColorIndex="12">
                      <a:gamma/>
                      <a:tint val="0"/>
                      <a:invGamma/>
                    </a:srgbClr>
                  </a:gs>
                </a:gsLst>
                <a:lin ang="0" scaled="1"/>
              </a:gradFill>
              <a:ln w="3175">
                <a:solidFill>
                  <a:srgbClr val="0000FF"/>
                </a:solidFill>
                <a:prstDash val="solid"/>
              </a:ln>
            </c:spPr>
            <c:extLst>
              <c:ext xmlns:c16="http://schemas.microsoft.com/office/drawing/2014/chart" uri="{C3380CC4-5D6E-409C-BE32-E72D297353CC}">
                <c16:uniqueId val="{0000000A-3248-410A-BF5B-02BF94F3A236}"/>
              </c:ext>
            </c:extLst>
          </c:dPt>
          <c:dPt>
            <c:idx val="2"/>
            <c:invertIfNegative val="0"/>
            <c:bubble3D val="0"/>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FFFFFF" mc:Ignorable="a14" a14:legacySpreadsheetColorIndex="11">
                      <a:gamma/>
                      <a:tint val="0"/>
                      <a:invGamma/>
                    </a:srgbClr>
                  </a:gs>
                </a:gsLst>
                <a:lin ang="0" scaled="1"/>
              </a:gradFill>
              <a:ln w="3175">
                <a:solidFill>
                  <a:srgbClr val="00FF00"/>
                </a:solidFill>
                <a:prstDash val="solid"/>
              </a:ln>
            </c:spPr>
            <c:extLst>
              <c:ext xmlns:c16="http://schemas.microsoft.com/office/drawing/2014/chart" uri="{C3380CC4-5D6E-409C-BE32-E72D297353CC}">
                <c16:uniqueId val="{0000000C-3248-410A-BF5B-02BF94F3A236}"/>
              </c:ext>
            </c:extLst>
          </c:dPt>
          <c:dPt>
            <c:idx val="3"/>
            <c:invertIfNegative val="0"/>
            <c:bubble3D val="0"/>
            <c:spPr>
              <a:gradFill>
                <a:gsLst>
                  <a:gs pos="0">
                    <a:srgbClr val="FFC000"/>
                  </a:gs>
                  <a:gs pos="100000">
                    <a:schemeClr val="bg1"/>
                  </a:gs>
                </a:gsLst>
                <a:lin ang="0" scaled="1"/>
              </a:gradFill>
              <a:ln w="6350">
                <a:solidFill>
                  <a:srgbClr val="FFC000"/>
                </a:solidFill>
                <a:prstDash val="solid"/>
              </a:ln>
            </c:spPr>
            <c:extLst>
              <c:ext xmlns:c16="http://schemas.microsoft.com/office/drawing/2014/chart" uri="{C3380CC4-5D6E-409C-BE32-E72D297353CC}">
                <c16:uniqueId val="{0000000D-55BC-46B5-B99E-2115E756F063}"/>
              </c:ext>
            </c:extLst>
          </c:dPt>
          <c:dPt>
            <c:idx val="4"/>
            <c:invertIfNegative val="0"/>
            <c:bubble3D val="0"/>
            <c:spPr>
              <a:gradFill>
                <a:gsLst>
                  <a:gs pos="0">
                    <a:srgbClr val="FF99FF"/>
                  </a:gs>
                  <a:gs pos="100000">
                    <a:schemeClr val="bg1"/>
                  </a:gs>
                </a:gsLst>
                <a:lin ang="0" scaled="1"/>
              </a:gradFill>
              <a:ln w="3175">
                <a:solidFill>
                  <a:srgbClr val="FF99FF"/>
                </a:solidFill>
                <a:prstDash val="solid"/>
              </a:ln>
            </c:spPr>
            <c:extLst>
              <c:ext xmlns:c16="http://schemas.microsoft.com/office/drawing/2014/chart" uri="{C3380CC4-5D6E-409C-BE32-E72D297353CC}">
                <c16:uniqueId val="{0000000F-55BC-46B5-B99E-2115E756F063}"/>
              </c:ext>
            </c:extLst>
          </c:dPt>
          <c:dLbls>
            <c:spPr>
              <a:solidFill>
                <a:srgbClr val="FFFFFF"/>
              </a:solidFill>
              <a:ln w="25400">
                <a:noFill/>
              </a:ln>
            </c:spPr>
            <c:txPr>
              <a:bodyPr rot="-5400000" vert="horz"/>
              <a:lstStyle/>
              <a:p>
                <a:pPr algn="ctr">
                  <a:defRPr sz="800" b="0" i="0" u="none" strike="noStrike" baseline="0">
                    <a:solidFill>
                      <a:srgbClr val="000000"/>
                    </a:solidFill>
                    <a:latin typeface="Arial"/>
                    <a:ea typeface="Arial"/>
                    <a:cs typeface="Arial"/>
                  </a:defRPr>
                </a:pPr>
                <a:endParaRPr lang="de-DE"/>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Ergebnis!$K$5:$O$5</c:f>
              <c:strCache>
                <c:ptCount val="5"/>
                <c:pt idx="0">
                  <c:v>Orts-KA </c:v>
                </c:pt>
                <c:pt idx="1">
                  <c:v>Überleitung </c:v>
                </c:pt>
                <c:pt idx="2">
                  <c:v>Grundstk-KA </c:v>
                </c:pt>
                <c:pt idx="3">
                  <c:v>Text 4</c:v>
                </c:pt>
                <c:pt idx="4">
                  <c:v>Text 5</c:v>
                </c:pt>
              </c:strCache>
            </c:strRef>
          </c:cat>
          <c:val>
            <c:numRef>
              <c:f>Ergebnis!$K$26:$O$26</c:f>
              <c:numCache>
                <c:formatCode>_-* #,##0.000_D_-;\-* #,##0.000\ _D_M_-;_-* "-"\ _D_M_-;_-@_-</c:formatCode>
                <c:ptCount val="5"/>
                <c:pt idx="0">
                  <c:v>0</c:v>
                </c:pt>
                <c:pt idx="1">
                  <c:v>0</c:v>
                </c:pt>
                <c:pt idx="2">
                  <c:v>0</c:v>
                </c:pt>
                <c:pt idx="3">
                  <c:v>0</c:v>
                </c:pt>
                <c:pt idx="4">
                  <c:v>0</c:v>
                </c:pt>
              </c:numCache>
            </c:numRef>
          </c:val>
          <c:extLst>
            <c:ext xmlns:c16="http://schemas.microsoft.com/office/drawing/2014/chart" uri="{C3380CC4-5D6E-409C-BE32-E72D297353CC}">
              <c16:uniqueId val="{0000000D-3248-410A-BF5B-02BF94F3A236}"/>
            </c:ext>
          </c:extLst>
        </c:ser>
        <c:dLbls>
          <c:showLegendKey val="0"/>
          <c:showVal val="0"/>
          <c:showCatName val="0"/>
          <c:showSerName val="0"/>
          <c:showPercent val="0"/>
          <c:showBubbleSize val="0"/>
        </c:dLbls>
        <c:gapWidth val="150"/>
        <c:axId val="113013888"/>
        <c:axId val="113015424"/>
      </c:barChart>
      <c:catAx>
        <c:axId val="11301388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3015424"/>
        <c:crosses val="autoZero"/>
        <c:auto val="1"/>
        <c:lblAlgn val="ctr"/>
        <c:lblOffset val="100"/>
        <c:tickLblSkip val="1"/>
        <c:tickMarkSkip val="1"/>
        <c:noMultiLvlLbl val="0"/>
      </c:catAx>
      <c:valAx>
        <c:axId val="113015424"/>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sz="1400" b="0" i="0" u="none" strike="noStrike" baseline="0">
                    <a:solidFill>
                      <a:srgbClr val="000000"/>
                    </a:solidFill>
                    <a:latin typeface="Arial"/>
                    <a:cs typeface="Arial"/>
                  </a:rPr>
                  <a:t>Nutzwertkosten </a:t>
                </a:r>
                <a:r>
                  <a:rPr lang="de-DE" sz="800" b="0" i="0" u="none" strike="noStrike" baseline="0">
                    <a:solidFill>
                      <a:srgbClr val="000000"/>
                    </a:solidFill>
                    <a:latin typeface="Arial"/>
                    <a:cs typeface="Arial"/>
                  </a:rPr>
                  <a:t>(ohne Einheit)</a:t>
                </a:r>
              </a:p>
            </c:rich>
          </c:tx>
          <c:layout>
            <c:manualLayout>
              <c:xMode val="edge"/>
              <c:yMode val="edge"/>
              <c:x val="0"/>
              <c:y val="0.32996631744809302"/>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3013888"/>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a:t>Nutzwertkosten über 50 Jahre</a:t>
            </a:r>
          </a:p>
        </c:rich>
      </c:tx>
      <c:layout>
        <c:manualLayout>
          <c:xMode val="edge"/>
          <c:yMode val="edge"/>
          <c:x val="0.33541664956114065"/>
          <c:y val="2.0236087689713321E-2"/>
        </c:manualLayout>
      </c:layout>
      <c:overlay val="0"/>
      <c:spPr>
        <a:noFill/>
        <a:ln w="25400">
          <a:noFill/>
        </a:ln>
      </c:spPr>
    </c:title>
    <c:autoTitleDeleted val="0"/>
    <c:plotArea>
      <c:layout>
        <c:manualLayout>
          <c:layoutTarget val="inner"/>
          <c:xMode val="edge"/>
          <c:yMode val="edge"/>
          <c:x val="0.14166666666666666"/>
          <c:y val="0.10118043844856661"/>
          <c:w val="0.84375"/>
          <c:h val="0.7200674536256324"/>
        </c:manualLayout>
      </c:layout>
      <c:lineChart>
        <c:grouping val="standard"/>
        <c:varyColors val="0"/>
        <c:ser>
          <c:idx val="0"/>
          <c:order val="0"/>
          <c:tx>
            <c:strRef>
              <c:f>'PKBW Zeit'!$B$1</c:f>
              <c:strCache>
                <c:ptCount val="1"/>
                <c:pt idx="0">
                  <c:v>Orts-KA </c:v>
                </c:pt>
              </c:strCache>
            </c:strRef>
          </c:tx>
          <c:spPr>
            <a:ln w="25400">
              <a:solidFill>
                <a:srgbClr val="FF0000"/>
              </a:solidFill>
              <a:prstDash val="solid"/>
            </a:ln>
          </c:spPr>
          <c:marker>
            <c:symbol val="square"/>
            <c:size val="7"/>
            <c:spPr>
              <a:solidFill>
                <a:srgbClr val="FFFFFF"/>
              </a:solidFill>
              <a:ln>
                <a:solidFill>
                  <a:srgbClr val="FF0000"/>
                </a:solidFill>
                <a:prstDash val="solid"/>
              </a:ln>
            </c:spPr>
          </c:marker>
          <c:dLbls>
            <c:dLbl>
              <c:idx val="0"/>
              <c:layout>
                <c:manualLayout>
                  <c:x val="-1.8055555555555582E-2"/>
                  <c:y val="2.6977949243926998E-2"/>
                </c:manualLayout>
              </c:layout>
              <c:spPr>
                <a:solidFill>
                  <a:srgbClr val="FF0000"/>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2D-45A8-91C3-10A625BA794A}"/>
                </c:ext>
              </c:extLst>
            </c:dLbl>
            <c:dLbl>
              <c:idx val="50"/>
              <c:layout>
                <c:manualLayout>
                  <c:x val="-3.1548556430446191E-2"/>
                  <c:y val="7.926438368896975E-2"/>
                </c:manualLayout>
              </c:layout>
              <c:spPr>
                <a:solidFill>
                  <a:srgbClr val="FF0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26-41E8-B20A-5EAAC306C6EF}"/>
                </c:ext>
              </c:extLst>
            </c:dLbl>
            <c:dLbl>
              <c:idx val="100"/>
              <c:spPr>
                <a:solidFill>
                  <a:srgbClr val="FF0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26-41E8-B20A-5EAAC306C6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Zeit'!$N$6:$N$106</c:f>
              <c:numCache>
                <c:formatCode>#,##0.000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2-1326-41E8-B20A-5EAAC306C6EF}"/>
            </c:ext>
          </c:extLst>
        </c:ser>
        <c:ser>
          <c:idx val="1"/>
          <c:order val="1"/>
          <c:tx>
            <c:strRef>
              <c:f>'PKBW Zeit'!$Z$3</c:f>
              <c:strCache>
                <c:ptCount val="1"/>
                <c:pt idx="0">
                  <c:v>Überleitung </c:v>
                </c:pt>
              </c:strCache>
            </c:strRef>
          </c:tx>
          <c:spPr>
            <a:ln w="25400">
              <a:solidFill>
                <a:srgbClr val="0000FF"/>
              </a:solidFill>
              <a:prstDash val="solid"/>
            </a:ln>
          </c:spPr>
          <c:marker>
            <c:symbol val="circle"/>
            <c:size val="7"/>
            <c:spPr>
              <a:solidFill>
                <a:srgbClr val="FFFFFF"/>
              </a:solidFill>
              <a:ln>
                <a:solidFill>
                  <a:srgbClr val="0000FF"/>
                </a:solidFill>
                <a:prstDash val="solid"/>
              </a:ln>
            </c:spPr>
          </c:marker>
          <c:dLbls>
            <c:dLbl>
              <c:idx val="0"/>
              <c:layout>
                <c:manualLayout>
                  <c:x val="-1.9444444444444469E-2"/>
                  <c:y val="-3.8218761428896721E-2"/>
                </c:manualLayout>
              </c:layout>
              <c:spPr>
                <a:solidFill>
                  <a:srgbClr val="0000FF"/>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2D-45A8-91C3-10A625BA794A}"/>
                </c:ext>
              </c:extLst>
            </c:dLbl>
            <c:dLbl>
              <c:idx val="50"/>
              <c:layout>
                <c:manualLayout>
                  <c:x val="-3.0506889763779587E-2"/>
                  <c:y val="-0.1341797789610194"/>
                </c:manualLayout>
              </c:layout>
              <c:spPr>
                <a:solidFill>
                  <a:srgbClr val="0000FF"/>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26-41E8-B20A-5EAAC306C6EF}"/>
                </c:ext>
              </c:extLst>
            </c:dLbl>
            <c:dLbl>
              <c:idx val="100"/>
              <c:spPr>
                <a:solidFill>
                  <a:srgbClr val="0000FF"/>
                </a:solidFill>
                <a:ln w="25400">
                  <a:noFill/>
                </a:ln>
              </c:spPr>
              <c:txPr>
                <a:bodyPr/>
                <a:lstStyle/>
                <a:p>
                  <a:pPr>
                    <a:defRPr sz="800" b="1" i="0" u="none" strike="noStrike" baseline="0">
                      <a:solidFill>
                        <a:srgbClr val="FFFFFF"/>
                      </a:solidFill>
                      <a:latin typeface="Arial"/>
                      <a:ea typeface="Arial"/>
                      <a:cs typeface="Aria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26-41E8-B20A-5EAAC306C6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Zeit'!$AA$6:$AA$106</c:f>
              <c:numCache>
                <c:formatCode>#,##0.000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5-1326-41E8-B20A-5EAAC306C6EF}"/>
            </c:ext>
          </c:extLst>
        </c:ser>
        <c:ser>
          <c:idx val="2"/>
          <c:order val="2"/>
          <c:tx>
            <c:strRef>
              <c:f>'PKBW Zeit'!$AB$1</c:f>
              <c:strCache>
                <c:ptCount val="1"/>
                <c:pt idx="0">
                  <c:v>Grundstk-KA </c:v>
                </c:pt>
              </c:strCache>
            </c:strRef>
          </c:tx>
          <c:spPr>
            <a:ln w="25400">
              <a:solidFill>
                <a:srgbClr val="008000"/>
              </a:solidFill>
              <a:prstDash val="solid"/>
            </a:ln>
          </c:spPr>
          <c:marker>
            <c:symbol val="triangle"/>
            <c:size val="7"/>
            <c:spPr>
              <a:solidFill>
                <a:srgbClr val="FFFFFF"/>
              </a:solidFill>
              <a:ln>
                <a:solidFill>
                  <a:srgbClr val="008000"/>
                </a:solidFill>
                <a:prstDash val="solid"/>
              </a:ln>
            </c:spPr>
          </c:marker>
          <c:dLbls>
            <c:dLbl>
              <c:idx val="0"/>
              <c:layout>
                <c:manualLayout>
                  <c:x val="-2.7777777777777776E-2"/>
                  <c:y val="-2.248162436993912E-2"/>
                </c:manualLayout>
              </c:layout>
              <c:spPr>
                <a:solidFill>
                  <a:srgbClr val="008000"/>
                </a:solidFill>
                <a:ln>
                  <a:noFill/>
                </a:ln>
                <a:effectLst/>
              </c:spPr>
              <c:txPr>
                <a:bodyPr wrap="square" lIns="38100" tIns="19050" rIns="38100" bIns="19050" anchor="ctr" anchorCtr="0">
                  <a:spAutoFit/>
                </a:bodyPr>
                <a:lstStyle/>
                <a:p>
                  <a:pPr algn="ctr" rtl="0">
                    <a:defRPr lang="en-US" sz="800" b="1" i="0" u="none" strike="noStrike" kern="1200" baseline="0">
                      <a:solidFill>
                        <a:srgbClr val="FFFFFF"/>
                      </a:solidFill>
                      <a:latin typeface="Arial"/>
                      <a:ea typeface="Arial"/>
                      <a:cs typeface="Aria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2D-45A8-91C3-10A625BA794A}"/>
                </c:ext>
              </c:extLst>
            </c:dLbl>
            <c:dLbl>
              <c:idx val="50"/>
              <c:layout>
                <c:manualLayout>
                  <c:x val="-3.2590223097112909E-2"/>
                  <c:y val="-0.10144777434018049"/>
                </c:manualLayout>
              </c:layout>
              <c:spPr>
                <a:solidFill>
                  <a:srgbClr val="008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26-41E8-B20A-5EAAC306C6EF}"/>
                </c:ext>
              </c:extLst>
            </c:dLbl>
            <c:dLbl>
              <c:idx val="100"/>
              <c:layout>
                <c:manualLayout>
                  <c:x val="-1.0730533683291626E-3"/>
                  <c:y val="4.3620015938940618E-2"/>
                </c:manualLayout>
              </c:layout>
              <c:spPr>
                <a:solidFill>
                  <a:srgbClr val="008000"/>
                </a:solidFill>
                <a:ln w="25400">
                  <a:noFill/>
                </a:ln>
              </c:spPr>
              <c:txPr>
                <a:bodyPr/>
                <a:lstStyle/>
                <a:p>
                  <a:pPr>
                    <a:defRPr sz="800" b="1" i="0" u="none" strike="noStrike" baseline="0">
                      <a:solidFill>
                        <a:srgbClr val="FFFFFF"/>
                      </a:solidFill>
                      <a:latin typeface="Arial"/>
                      <a:ea typeface="Arial"/>
                      <a:cs typeface="Arial"/>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26-41E8-B20A-5EAAC306C6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Zeit'!$AN$6:$AN$106</c:f>
              <c:numCache>
                <c:formatCode>#,##0.000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8-1326-41E8-B20A-5EAAC306C6EF}"/>
            </c:ext>
          </c:extLst>
        </c:ser>
        <c:ser>
          <c:idx val="3"/>
          <c:order val="3"/>
          <c:tx>
            <c:strRef>
              <c:f>'PKBW Zeit'!$AO$1</c:f>
              <c:strCache>
                <c:ptCount val="1"/>
                <c:pt idx="0">
                  <c:v>Text 4</c:v>
                </c:pt>
              </c:strCache>
            </c:strRef>
          </c:tx>
          <c:spPr>
            <a:ln w="25400">
              <a:solidFill>
                <a:srgbClr val="FFC000">
                  <a:alpha val="50000"/>
                </a:srgbClr>
              </a:solidFill>
            </a:ln>
          </c:spPr>
          <c:marker>
            <c:symbol val="diamond"/>
            <c:size val="7"/>
            <c:spPr>
              <a:solidFill>
                <a:srgbClr val="FFC000">
                  <a:alpha val="50000"/>
                </a:srgbClr>
              </a:solidFill>
              <a:ln w="3175">
                <a:solidFill>
                  <a:srgbClr val="FFC000"/>
                </a:solidFill>
              </a:ln>
            </c:spPr>
          </c:marker>
          <c:dLbls>
            <c:dLbl>
              <c:idx val="0"/>
              <c:layout>
                <c:manualLayout>
                  <c:x val="-1.3888888888888888E-2"/>
                  <c:y val="-2.92261116809209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2D-45A8-91C3-10A625BA794A}"/>
                </c:ext>
              </c:extLst>
            </c:dLbl>
            <c:dLbl>
              <c:idx val="50"/>
              <c:layout>
                <c:manualLayout>
                  <c:x val="-2.6388888888888889E-2"/>
                  <c:y val="-1.7985299495951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5B-4928-8F92-CF0C8796A4B5}"/>
                </c:ext>
              </c:extLst>
            </c:dLbl>
            <c:dLbl>
              <c:idx val="10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5B-4928-8F92-CF0C8796A4B5}"/>
                </c:ext>
              </c:extLst>
            </c:dLbl>
            <c:spPr>
              <a:solidFill>
                <a:srgbClr val="FFC000"/>
              </a:solidFill>
              <a:ln>
                <a:noFill/>
              </a:ln>
              <a:effectLst/>
            </c:spPr>
            <c:txPr>
              <a:bodyPr wrap="square" lIns="38100" tIns="19050" rIns="38100" bIns="19050" anchor="ctr">
                <a:spAutoFit/>
              </a:bodyPr>
              <a:lstStyle/>
              <a:p>
                <a:pPr>
                  <a:defRPr sz="800" b="1">
                    <a:solidFill>
                      <a:schemeClr val="tx1"/>
                    </a:solidFill>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Zeit'!$BA$6:$BA$106</c:f>
              <c:numCache>
                <c:formatCode>#,##0.000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0-035B-4928-8F92-CF0C8796A4B5}"/>
            </c:ext>
          </c:extLst>
        </c:ser>
        <c:ser>
          <c:idx val="4"/>
          <c:order val="4"/>
          <c:tx>
            <c:strRef>
              <c:f>'PKBW Zeit'!$BB$1</c:f>
              <c:strCache>
                <c:ptCount val="1"/>
                <c:pt idx="0">
                  <c:v>Text 5</c:v>
                </c:pt>
              </c:strCache>
            </c:strRef>
          </c:tx>
          <c:spPr>
            <a:ln w="25400">
              <a:solidFill>
                <a:srgbClr val="FF99FF"/>
              </a:solidFill>
            </a:ln>
          </c:spPr>
          <c:marker>
            <c:spPr>
              <a:noFill/>
              <a:ln w="9525">
                <a:solidFill>
                  <a:srgbClr val="FF99FF"/>
                </a:solidFill>
              </a:ln>
            </c:spPr>
          </c:marker>
          <c:dLbls>
            <c:dLbl>
              <c:idx val="0"/>
              <c:layout>
                <c:manualLayout>
                  <c:x val="-2.7777777777777776E-2"/>
                  <c:y val="3.59705989919027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2D-45A8-91C3-10A625BA794A}"/>
                </c:ext>
              </c:extLst>
            </c:dLbl>
            <c:dLbl>
              <c:idx val="50"/>
              <c:layout>
                <c:manualLayout>
                  <c:x val="-2.6388888888888889E-2"/>
                  <c:y val="4.4963248739878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5B-4928-8F92-CF0C8796A4B5}"/>
                </c:ext>
              </c:extLst>
            </c:dLbl>
            <c:dLbl>
              <c:idx val="100"/>
              <c:layout>
                <c:manualLayout>
                  <c:x val="-2.0370135052831988E-16"/>
                  <c:y val="1.7985299495951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5B-4928-8F92-CF0C8796A4B5}"/>
                </c:ext>
              </c:extLst>
            </c:dLbl>
            <c:spPr>
              <a:solidFill>
                <a:srgbClr val="FF99FF"/>
              </a:solidFill>
              <a:ln>
                <a:noFill/>
              </a:ln>
              <a:effectLst/>
            </c:spPr>
            <c:txPr>
              <a:bodyPr wrap="square" lIns="38100" tIns="19050" rIns="38100" bIns="19050" anchor="ctr">
                <a:spAutoFit/>
              </a:bodyPr>
              <a:lstStyle/>
              <a:p>
                <a:pPr>
                  <a:defRPr sz="800" b="1">
                    <a:solidFill>
                      <a:schemeClr val="tx1"/>
                    </a:solidFill>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'PKBW Zeit'!$B$6:$B$106</c:f>
              <c:numCache>
                <c:formatCode>General</c:formatCode>
                <c:ptCount val="101"/>
                <c:pt idx="0">
                  <c:v>0</c:v>
                </c:pt>
                <c:pt idx="2">
                  <c:v>1</c:v>
                </c:pt>
                <c:pt idx="4">
                  <c:v>2</c:v>
                </c:pt>
                <c:pt idx="6">
                  <c:v>3</c:v>
                </c:pt>
                <c:pt idx="8">
                  <c:v>4</c:v>
                </c:pt>
                <c:pt idx="10">
                  <c:v>5</c:v>
                </c:pt>
                <c:pt idx="12">
                  <c:v>6</c:v>
                </c:pt>
                <c:pt idx="14">
                  <c:v>7</c:v>
                </c:pt>
                <c:pt idx="16">
                  <c:v>8</c:v>
                </c:pt>
                <c:pt idx="18">
                  <c:v>9</c:v>
                </c:pt>
                <c:pt idx="20">
                  <c:v>10</c:v>
                </c:pt>
                <c:pt idx="22">
                  <c:v>11</c:v>
                </c:pt>
                <c:pt idx="24">
                  <c:v>12</c:v>
                </c:pt>
                <c:pt idx="25">
                  <c:v>12.5</c:v>
                </c:pt>
                <c:pt idx="26">
                  <c:v>13</c:v>
                </c:pt>
                <c:pt idx="28">
                  <c:v>14</c:v>
                </c:pt>
                <c:pt idx="30">
                  <c:v>15</c:v>
                </c:pt>
                <c:pt idx="32">
                  <c:v>16</c:v>
                </c:pt>
                <c:pt idx="34">
                  <c:v>17</c:v>
                </c:pt>
                <c:pt idx="36">
                  <c:v>18</c:v>
                </c:pt>
                <c:pt idx="38">
                  <c:v>19</c:v>
                </c:pt>
                <c:pt idx="40">
                  <c:v>20</c:v>
                </c:pt>
                <c:pt idx="42">
                  <c:v>21</c:v>
                </c:pt>
                <c:pt idx="44">
                  <c:v>22</c:v>
                </c:pt>
                <c:pt idx="46">
                  <c:v>23</c:v>
                </c:pt>
                <c:pt idx="48">
                  <c:v>24</c:v>
                </c:pt>
                <c:pt idx="50">
                  <c:v>25</c:v>
                </c:pt>
                <c:pt idx="52">
                  <c:v>26</c:v>
                </c:pt>
                <c:pt idx="54">
                  <c:v>27</c:v>
                </c:pt>
                <c:pt idx="56">
                  <c:v>28</c:v>
                </c:pt>
                <c:pt idx="58">
                  <c:v>29</c:v>
                </c:pt>
                <c:pt idx="60">
                  <c:v>30</c:v>
                </c:pt>
                <c:pt idx="62">
                  <c:v>31</c:v>
                </c:pt>
                <c:pt idx="64">
                  <c:v>32</c:v>
                </c:pt>
                <c:pt idx="66">
                  <c:v>33</c:v>
                </c:pt>
                <c:pt idx="68">
                  <c:v>34</c:v>
                </c:pt>
                <c:pt idx="70">
                  <c:v>35</c:v>
                </c:pt>
                <c:pt idx="72">
                  <c:v>36</c:v>
                </c:pt>
                <c:pt idx="74">
                  <c:v>37</c:v>
                </c:pt>
                <c:pt idx="75">
                  <c:v>37.5</c:v>
                </c:pt>
                <c:pt idx="76">
                  <c:v>38</c:v>
                </c:pt>
                <c:pt idx="78">
                  <c:v>39</c:v>
                </c:pt>
                <c:pt idx="80">
                  <c:v>40</c:v>
                </c:pt>
                <c:pt idx="82">
                  <c:v>41</c:v>
                </c:pt>
                <c:pt idx="84">
                  <c:v>42</c:v>
                </c:pt>
                <c:pt idx="86">
                  <c:v>43</c:v>
                </c:pt>
                <c:pt idx="88">
                  <c:v>44</c:v>
                </c:pt>
                <c:pt idx="90">
                  <c:v>45</c:v>
                </c:pt>
                <c:pt idx="92">
                  <c:v>46</c:v>
                </c:pt>
                <c:pt idx="94">
                  <c:v>47</c:v>
                </c:pt>
                <c:pt idx="96">
                  <c:v>48</c:v>
                </c:pt>
                <c:pt idx="98">
                  <c:v>49</c:v>
                </c:pt>
                <c:pt idx="100">
                  <c:v>50</c:v>
                </c:pt>
              </c:numCache>
            </c:numRef>
          </c:cat>
          <c:val>
            <c:numRef>
              <c:f>'PKBW Zeit'!$BN$6:$BN$106</c:f>
              <c:numCache>
                <c:formatCode>#,##0.000</c:formatCode>
                <c:ptCount val="101"/>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pt idx="62">
                  <c:v>0</c:v>
                </c:pt>
                <c:pt idx="64">
                  <c:v>0</c:v>
                </c:pt>
                <c:pt idx="66">
                  <c:v>0</c:v>
                </c:pt>
                <c:pt idx="68">
                  <c:v>0</c:v>
                </c:pt>
                <c:pt idx="70">
                  <c:v>0</c:v>
                </c:pt>
                <c:pt idx="72">
                  <c:v>0</c:v>
                </c:pt>
                <c:pt idx="74">
                  <c:v>0</c:v>
                </c:pt>
                <c:pt idx="76">
                  <c:v>0</c:v>
                </c:pt>
                <c:pt idx="78">
                  <c:v>0</c:v>
                </c:pt>
                <c:pt idx="80">
                  <c:v>0</c:v>
                </c:pt>
                <c:pt idx="82">
                  <c:v>0</c:v>
                </c:pt>
                <c:pt idx="84">
                  <c:v>0</c:v>
                </c:pt>
                <c:pt idx="86">
                  <c:v>0</c:v>
                </c:pt>
                <c:pt idx="88">
                  <c:v>0</c:v>
                </c:pt>
                <c:pt idx="90">
                  <c:v>0</c:v>
                </c:pt>
                <c:pt idx="92">
                  <c:v>0</c:v>
                </c:pt>
                <c:pt idx="94">
                  <c:v>0</c:v>
                </c:pt>
                <c:pt idx="96">
                  <c:v>0</c:v>
                </c:pt>
                <c:pt idx="98">
                  <c:v>0</c:v>
                </c:pt>
                <c:pt idx="100">
                  <c:v>0</c:v>
                </c:pt>
              </c:numCache>
            </c:numRef>
          </c:val>
          <c:smooth val="0"/>
          <c:extLst>
            <c:ext xmlns:c16="http://schemas.microsoft.com/office/drawing/2014/chart" uri="{C3380CC4-5D6E-409C-BE32-E72D297353CC}">
              <c16:uniqueId val="{00000001-035B-4928-8F92-CF0C8796A4B5}"/>
            </c:ext>
          </c:extLst>
        </c:ser>
        <c:dLbls>
          <c:showLegendKey val="0"/>
          <c:showVal val="0"/>
          <c:showCatName val="0"/>
          <c:showSerName val="0"/>
          <c:showPercent val="0"/>
          <c:showBubbleSize val="0"/>
        </c:dLbls>
        <c:marker val="1"/>
        <c:smooth val="0"/>
        <c:axId val="117716096"/>
        <c:axId val="117718016"/>
      </c:lineChart>
      <c:catAx>
        <c:axId val="117716096"/>
        <c:scaling>
          <c:orientation val="minMax"/>
        </c:scaling>
        <c:delete val="0"/>
        <c:axPos val="b"/>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Jahr</a:t>
                </a:r>
              </a:p>
            </c:rich>
          </c:tx>
          <c:layout>
            <c:manualLayout>
              <c:xMode val="edge"/>
              <c:yMode val="edge"/>
              <c:x val="0.54375002394773642"/>
              <c:y val="0.8870151770657672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7718016"/>
        <c:crosses val="autoZero"/>
        <c:auto val="1"/>
        <c:lblAlgn val="ctr"/>
        <c:lblOffset val="100"/>
        <c:tickLblSkip val="10"/>
        <c:tickMarkSkip val="10"/>
        <c:noMultiLvlLbl val="0"/>
      </c:catAx>
      <c:valAx>
        <c:axId val="117718016"/>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NWK   EURO</a:t>
                </a:r>
              </a:p>
            </c:rich>
          </c:tx>
          <c:layout>
            <c:manualLayout>
              <c:xMode val="edge"/>
              <c:yMode val="edge"/>
              <c:x val="0"/>
              <c:y val="0.34738617200674538"/>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7716096"/>
        <c:crosses val="autoZero"/>
        <c:crossBetween val="midCat"/>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span"/>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604166666666665"/>
          <c:y val="2.0202020202020204E-2"/>
        </c:manualLayout>
      </c:layout>
      <c:overlay val="0"/>
      <c:spPr>
        <a:noFill/>
        <a:ln w="25400">
          <a:noFill/>
        </a:ln>
      </c:spPr>
      <c:txPr>
        <a:bodyPr/>
        <a:lstStyle/>
        <a:p>
          <a:pPr>
            <a:defRPr sz="14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8.020833333333334E-2"/>
          <c:y val="0.12457912457912458"/>
          <c:w val="0.90314234133844606"/>
          <c:h val="0.78114478114478114"/>
        </c:manualLayout>
      </c:layout>
      <c:barChart>
        <c:barDir val="col"/>
        <c:grouping val="clustered"/>
        <c:varyColors val="0"/>
        <c:ser>
          <c:idx val="0"/>
          <c:order val="0"/>
          <c:tx>
            <c:strRef>
              <c:f>Ergebnis!$C$7</c:f>
              <c:strCache>
                <c:ptCount val="1"/>
                <c:pt idx="0">
                  <c:v>Wichtungsfaktor</c:v>
                </c:pt>
              </c:strCache>
            </c:strRef>
          </c:tx>
          <c:spPr>
            <a:gradFill rotWithShape="0">
              <a:gsLst>
                <a:gs pos="0">
                  <a:srgbClr val="808080"/>
                </a:gs>
                <a:gs pos="100000">
                  <a:srgbClr val="FFFFFF"/>
                </a:gs>
              </a:gsLst>
              <a:lin ang="0" scaled="1"/>
            </a:gradFill>
            <a:ln w="3175">
              <a:solidFill>
                <a:srgbClr val="808080"/>
              </a:solidFill>
              <a:prstDash val="solid"/>
            </a:ln>
          </c:spPr>
          <c:invertIfNegative val="0"/>
          <c:dLbls>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Ergebnis!$C$8:$C$13</c:f>
              <c:numCache>
                <c:formatCode>General</c:formatCode>
                <c:ptCount val="6"/>
                <c:pt idx="0">
                  <c:v>40</c:v>
                </c:pt>
                <c:pt idx="1">
                  <c:v>20</c:v>
                </c:pt>
                <c:pt idx="2">
                  <c:v>10</c:v>
                </c:pt>
                <c:pt idx="3">
                  <c:v>10</c:v>
                </c:pt>
                <c:pt idx="4">
                  <c:v>10</c:v>
                </c:pt>
                <c:pt idx="5">
                  <c:v>10</c:v>
                </c:pt>
              </c:numCache>
            </c:numRef>
          </c:val>
          <c:extLst>
            <c:ext xmlns:c16="http://schemas.microsoft.com/office/drawing/2014/chart" uri="{C3380CC4-5D6E-409C-BE32-E72D297353CC}">
              <c16:uniqueId val="{00000000-616C-44B6-8E8E-FE08282D8035}"/>
            </c:ext>
          </c:extLst>
        </c:ser>
        <c:dLbls>
          <c:showLegendKey val="0"/>
          <c:showVal val="0"/>
          <c:showCatName val="0"/>
          <c:showSerName val="0"/>
          <c:showPercent val="0"/>
          <c:showBubbleSize val="0"/>
        </c:dLbls>
        <c:gapWidth val="150"/>
        <c:axId val="113058560"/>
        <c:axId val="113060096"/>
      </c:barChart>
      <c:catAx>
        <c:axId val="11305856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3060096"/>
        <c:crosses val="autoZero"/>
        <c:auto val="1"/>
        <c:lblAlgn val="ctr"/>
        <c:lblOffset val="100"/>
        <c:tickLblSkip val="1"/>
        <c:tickMarkSkip val="1"/>
        <c:noMultiLvlLbl val="0"/>
      </c:catAx>
      <c:valAx>
        <c:axId val="1130600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3058560"/>
        <c:crosses val="autoZero"/>
        <c:crossBetween val="between"/>
      </c:valAx>
      <c:spPr>
        <a:solidFill>
          <a:srgbClr val="FFFFFF"/>
        </a:solidFill>
        <a:ln w="3175">
          <a:solidFill>
            <a:srgbClr val="000000"/>
          </a:solidFill>
          <a:prstDash val="solid"/>
        </a:ln>
      </c:spPr>
    </c:plotArea>
    <c:legend>
      <c:legendPos val="r"/>
      <c:layout>
        <c:manualLayout>
          <c:xMode val="edge"/>
          <c:yMode val="edge"/>
          <c:x val="0.72916666666666663"/>
          <c:y val="0.18855218855218855"/>
          <c:w val="0.171875"/>
          <c:h val="4.7138047138047146E-2"/>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a:t>Teilnutzen (Punktevergabe)</a:t>
            </a:r>
          </a:p>
        </c:rich>
      </c:tx>
      <c:layout>
        <c:manualLayout>
          <c:xMode val="edge"/>
          <c:yMode val="edge"/>
          <c:x val="0.37708333333333333"/>
          <c:y val="2.0202020202020204E-2"/>
        </c:manualLayout>
      </c:layout>
      <c:overlay val="0"/>
      <c:spPr>
        <a:noFill/>
        <a:ln w="25400">
          <a:noFill/>
        </a:ln>
      </c:spPr>
    </c:title>
    <c:autoTitleDeleted val="0"/>
    <c:plotArea>
      <c:layout>
        <c:manualLayout>
          <c:layoutTarget val="inner"/>
          <c:xMode val="edge"/>
          <c:yMode val="edge"/>
          <c:x val="6.8750000000000006E-2"/>
          <c:y val="0.12121212121212122"/>
          <c:w val="0.92153787748435712"/>
          <c:h val="0.71548821548821551"/>
        </c:manualLayout>
      </c:layout>
      <c:barChart>
        <c:barDir val="col"/>
        <c:grouping val="clustered"/>
        <c:varyColors val="0"/>
        <c:ser>
          <c:idx val="1"/>
          <c:order val="0"/>
          <c:tx>
            <c:strRef>
              <c:f>Ergebnis!$D$5</c:f>
              <c:strCache>
                <c:ptCount val="1"/>
                <c:pt idx="0">
                  <c:v>Orts-KA </c:v>
                </c:pt>
              </c:strCache>
            </c:strRef>
          </c:tx>
          <c:spPr>
            <a:gradFill rotWithShape="0">
              <a:gsLst>
                <a:gs pos="0">
                  <a:srgbClr val="FF0000"/>
                </a:gs>
                <a:gs pos="100000">
                  <a:srgbClr val="FFFFFF"/>
                </a:gs>
              </a:gsLst>
              <a:lin ang="0" scaled="1"/>
            </a:gradFill>
            <a:ln w="3175">
              <a:solidFill>
                <a:srgbClr val="FF0000"/>
              </a:solidFill>
              <a:prstDash val="solid"/>
            </a:ln>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Ergebnis!$D$8:$D$13</c:f>
              <c:numCache>
                <c:formatCode>General</c:formatCode>
                <c:ptCount val="6"/>
                <c:pt idx="0">
                  <c:v>5</c:v>
                </c:pt>
                <c:pt idx="1">
                  <c:v>5</c:v>
                </c:pt>
                <c:pt idx="2">
                  <c:v>4</c:v>
                </c:pt>
                <c:pt idx="3">
                  <c:v>4</c:v>
                </c:pt>
                <c:pt idx="4">
                  <c:v>5</c:v>
                </c:pt>
                <c:pt idx="5">
                  <c:v>5</c:v>
                </c:pt>
              </c:numCache>
            </c:numRef>
          </c:val>
          <c:extLst>
            <c:ext xmlns:c16="http://schemas.microsoft.com/office/drawing/2014/chart" uri="{C3380CC4-5D6E-409C-BE32-E72D297353CC}">
              <c16:uniqueId val="{00000000-9B3E-48C0-B5D8-F79DCAE74E4C}"/>
            </c:ext>
          </c:extLst>
        </c:ser>
        <c:ser>
          <c:idx val="0"/>
          <c:order val="1"/>
          <c:tx>
            <c:strRef>
              <c:f>Ergebnis!$E$5</c:f>
              <c:strCache>
                <c:ptCount val="1"/>
                <c:pt idx="0">
                  <c:v>Überleitung </c:v>
                </c:pt>
              </c:strCache>
            </c:strRef>
          </c:tx>
          <c:spPr>
            <a:gradFill rotWithShape="0">
              <a:gsLst>
                <a:gs pos="0">
                  <a:srgbClr val="0000FF"/>
                </a:gs>
                <a:gs pos="100000">
                  <a:srgbClr val="FFFFFF"/>
                </a:gs>
              </a:gsLst>
              <a:lin ang="0" scaled="1"/>
            </a:gradFill>
            <a:ln w="3175">
              <a:solidFill>
                <a:srgbClr val="0000FF"/>
              </a:solidFill>
              <a:prstDash val="solid"/>
            </a:ln>
          </c:spPr>
          <c:invertIfNegative val="0"/>
          <c:dLbls>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Ergebnis!$E$8:$E$13</c:f>
              <c:numCache>
                <c:formatCode>General</c:formatCode>
                <c:ptCount val="6"/>
                <c:pt idx="0">
                  <c:v>6</c:v>
                </c:pt>
                <c:pt idx="1">
                  <c:v>6</c:v>
                </c:pt>
                <c:pt idx="2">
                  <c:v>3</c:v>
                </c:pt>
                <c:pt idx="3">
                  <c:v>6</c:v>
                </c:pt>
                <c:pt idx="4">
                  <c:v>3</c:v>
                </c:pt>
                <c:pt idx="5">
                  <c:v>6</c:v>
                </c:pt>
              </c:numCache>
            </c:numRef>
          </c:val>
          <c:extLst>
            <c:ext xmlns:c16="http://schemas.microsoft.com/office/drawing/2014/chart" uri="{C3380CC4-5D6E-409C-BE32-E72D297353CC}">
              <c16:uniqueId val="{00000001-9B3E-48C0-B5D8-F79DCAE74E4C}"/>
            </c:ext>
          </c:extLst>
        </c:ser>
        <c:ser>
          <c:idx val="2"/>
          <c:order val="2"/>
          <c:tx>
            <c:strRef>
              <c:f>Ergebnis!$F$5</c:f>
              <c:strCache>
                <c:ptCount val="1"/>
                <c:pt idx="0">
                  <c:v>Grundstk-KA </c:v>
                </c:pt>
              </c:strCache>
            </c:strRef>
          </c:tx>
          <c:spPr>
            <a:gradFill rotWithShape="0">
              <a:gsLst>
                <a:gs pos="0">
                  <a:srgbClr val="00FF00"/>
                </a:gs>
                <a:gs pos="100000">
                  <a:srgbClr val="FFFFFF"/>
                </a:gs>
              </a:gsLst>
              <a:lin ang="0" scaled="1"/>
            </a:gradFill>
            <a:ln w="3175">
              <a:solidFill>
                <a:srgbClr val="00FF00"/>
              </a:solidFill>
              <a:prstDash val="solid"/>
            </a:ln>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Ergebnis!$F$8:$F$13</c:f>
              <c:numCache>
                <c:formatCode>General</c:formatCode>
                <c:ptCount val="6"/>
                <c:pt idx="0">
                  <c:v>3</c:v>
                </c:pt>
                <c:pt idx="1">
                  <c:v>3</c:v>
                </c:pt>
                <c:pt idx="2">
                  <c:v>6</c:v>
                </c:pt>
                <c:pt idx="3">
                  <c:v>6</c:v>
                </c:pt>
                <c:pt idx="4">
                  <c:v>6</c:v>
                </c:pt>
                <c:pt idx="5">
                  <c:v>4</c:v>
                </c:pt>
              </c:numCache>
            </c:numRef>
          </c:val>
          <c:extLst>
            <c:ext xmlns:c16="http://schemas.microsoft.com/office/drawing/2014/chart" uri="{C3380CC4-5D6E-409C-BE32-E72D297353CC}">
              <c16:uniqueId val="{00000002-9B3E-48C0-B5D8-F79DCAE74E4C}"/>
            </c:ext>
          </c:extLst>
        </c:ser>
        <c:ser>
          <c:idx val="3"/>
          <c:order val="3"/>
          <c:tx>
            <c:strRef>
              <c:f>Ergebnis!$G$5</c:f>
              <c:strCache>
                <c:ptCount val="1"/>
                <c:pt idx="0">
                  <c:v>Text 4</c:v>
                </c:pt>
              </c:strCache>
            </c:strRef>
          </c:tx>
          <c:spPr>
            <a:gradFill>
              <a:gsLst>
                <a:gs pos="0">
                  <a:srgbClr val="FFC000"/>
                </a:gs>
                <a:gs pos="100000">
                  <a:schemeClr val="bg1"/>
                </a:gs>
              </a:gsLst>
              <a:lin ang="0" scaled="1"/>
            </a:gradFill>
            <a:ln w="3175">
              <a:solidFill>
                <a:srgbClr val="FFC000"/>
              </a:solidFill>
            </a:ln>
          </c:spPr>
          <c:invertIfNegative val="0"/>
          <c:dLbls>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Ergebnis!$G$8:$G$13</c:f>
              <c:numCache>
                <c:formatCode>General</c:formatCode>
                <c:ptCount val="6"/>
                <c:pt idx="0">
                  <c:v>6</c:v>
                </c:pt>
                <c:pt idx="1">
                  <c:v>3</c:v>
                </c:pt>
                <c:pt idx="2">
                  <c:v>2</c:v>
                </c:pt>
                <c:pt idx="3">
                  <c:v>3</c:v>
                </c:pt>
                <c:pt idx="4">
                  <c:v>2</c:v>
                </c:pt>
                <c:pt idx="5">
                  <c:v>6</c:v>
                </c:pt>
              </c:numCache>
            </c:numRef>
          </c:val>
          <c:extLst>
            <c:ext xmlns:c16="http://schemas.microsoft.com/office/drawing/2014/chart" uri="{C3380CC4-5D6E-409C-BE32-E72D297353CC}">
              <c16:uniqueId val="{00000000-BFC2-4282-8B81-43C250D3E9D0}"/>
            </c:ext>
          </c:extLst>
        </c:ser>
        <c:ser>
          <c:idx val="4"/>
          <c:order val="4"/>
          <c:tx>
            <c:strRef>
              <c:f>Ergebnis!$H$5</c:f>
              <c:strCache>
                <c:ptCount val="1"/>
                <c:pt idx="0">
                  <c:v>Text 5</c:v>
                </c:pt>
              </c:strCache>
            </c:strRef>
          </c:tx>
          <c:spPr>
            <a:gradFill>
              <a:gsLst>
                <a:gs pos="0">
                  <a:srgbClr val="FF99FF"/>
                </a:gs>
                <a:gs pos="100000">
                  <a:schemeClr val="bg1"/>
                </a:gs>
              </a:gsLst>
              <a:lin ang="0" scaled="1"/>
            </a:gradFill>
            <a:ln w="3175">
              <a:solidFill>
                <a:srgbClr val="FF99FF"/>
              </a:solidFill>
            </a:ln>
          </c:spPr>
          <c:invertIfNegative val="0"/>
          <c:dLbls>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Ergebnis!$H$8:$H$13</c:f>
              <c:numCache>
                <c:formatCode>General</c:formatCode>
                <c:ptCount val="6"/>
                <c:pt idx="0">
                  <c:v>3</c:v>
                </c:pt>
                <c:pt idx="1">
                  <c:v>4</c:v>
                </c:pt>
                <c:pt idx="2">
                  <c:v>3</c:v>
                </c:pt>
                <c:pt idx="3">
                  <c:v>4</c:v>
                </c:pt>
                <c:pt idx="4">
                  <c:v>3</c:v>
                </c:pt>
                <c:pt idx="5">
                  <c:v>4</c:v>
                </c:pt>
              </c:numCache>
            </c:numRef>
          </c:val>
          <c:extLst>
            <c:ext xmlns:c16="http://schemas.microsoft.com/office/drawing/2014/chart" uri="{C3380CC4-5D6E-409C-BE32-E72D297353CC}">
              <c16:uniqueId val="{00000001-BFC2-4282-8B81-43C250D3E9D0}"/>
            </c:ext>
          </c:extLst>
        </c:ser>
        <c:dLbls>
          <c:showLegendKey val="0"/>
          <c:showVal val="0"/>
          <c:showCatName val="0"/>
          <c:showSerName val="0"/>
          <c:showPercent val="0"/>
          <c:showBubbleSize val="0"/>
        </c:dLbls>
        <c:gapWidth val="150"/>
        <c:axId val="113305472"/>
        <c:axId val="113307008"/>
      </c:barChart>
      <c:catAx>
        <c:axId val="11330547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3307008"/>
        <c:crosses val="autoZero"/>
        <c:auto val="1"/>
        <c:lblAlgn val="ctr"/>
        <c:lblOffset val="100"/>
        <c:tickLblSkip val="1"/>
        <c:tickMarkSkip val="1"/>
        <c:noMultiLvlLbl val="0"/>
      </c:catAx>
      <c:valAx>
        <c:axId val="113307008"/>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de-DE"/>
                  <a:t>-</a:t>
                </a:r>
              </a:p>
            </c:rich>
          </c:tx>
          <c:layout>
            <c:manualLayout>
              <c:xMode val="edge"/>
              <c:yMode val="edge"/>
              <c:x val="0"/>
              <c:y val="0.468013468013467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3305472"/>
        <c:crosses val="autoZero"/>
        <c:crossBetween val="between"/>
      </c:valAx>
      <c:spPr>
        <a:solidFill>
          <a:srgbClr val="FFFFFF"/>
        </a:solid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de-DE"/>
              <a:t>Teilnutzwert (= Wichtung x Teilnutzen)</a:t>
            </a:r>
          </a:p>
        </c:rich>
      </c:tx>
      <c:layout>
        <c:manualLayout>
          <c:xMode val="edge"/>
          <c:yMode val="edge"/>
          <c:x val="0.33229166666666665"/>
          <c:y val="2.0202020202020204E-2"/>
        </c:manualLayout>
      </c:layout>
      <c:overlay val="0"/>
      <c:spPr>
        <a:noFill/>
        <a:ln w="25400">
          <a:noFill/>
        </a:ln>
      </c:spPr>
    </c:title>
    <c:autoTitleDeleted val="0"/>
    <c:plotArea>
      <c:layout>
        <c:manualLayout>
          <c:layoutTarget val="inner"/>
          <c:xMode val="edge"/>
          <c:yMode val="edge"/>
          <c:x val="9.166666666666666E-2"/>
          <c:y val="0.10942760942760943"/>
          <c:w val="0.8930714670031491"/>
          <c:h val="0.72727272727272729"/>
        </c:manualLayout>
      </c:layout>
      <c:barChart>
        <c:barDir val="col"/>
        <c:grouping val="clustered"/>
        <c:varyColors val="0"/>
        <c:ser>
          <c:idx val="1"/>
          <c:order val="0"/>
          <c:tx>
            <c:strRef>
              <c:f>Ergebnis!$K$5</c:f>
              <c:strCache>
                <c:ptCount val="1"/>
                <c:pt idx="0">
                  <c:v>Orts-KA </c:v>
                </c:pt>
              </c:strCache>
            </c:strRef>
          </c:tx>
          <c:spPr>
            <a:gradFill rotWithShape="0">
              <a:gsLst>
                <a:gs pos="0">
                  <a:srgbClr val="FF0000"/>
                </a:gs>
                <a:gs pos="100000">
                  <a:srgbClr val="FFFFFF"/>
                </a:gs>
              </a:gsLst>
              <a:lin ang="0" scaled="1"/>
            </a:gradFill>
            <a:ln w="3175">
              <a:solidFill>
                <a:srgbClr val="FF0000"/>
              </a:solidFill>
              <a:prstDash val="solid"/>
            </a:ln>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Ergebnis!$K$8:$K$13</c:f>
              <c:numCache>
                <c:formatCode>_-* #,##0_D_-;\-* #,##0\ _D_M_-;_-* "-"\ _D_M_-;_-@_-</c:formatCode>
                <c:ptCount val="6"/>
                <c:pt idx="0">
                  <c:v>200</c:v>
                </c:pt>
                <c:pt idx="1">
                  <c:v>100</c:v>
                </c:pt>
                <c:pt idx="2">
                  <c:v>40</c:v>
                </c:pt>
                <c:pt idx="3">
                  <c:v>40</c:v>
                </c:pt>
                <c:pt idx="4">
                  <c:v>50</c:v>
                </c:pt>
                <c:pt idx="5">
                  <c:v>50</c:v>
                </c:pt>
              </c:numCache>
            </c:numRef>
          </c:val>
          <c:extLst>
            <c:ext xmlns:c16="http://schemas.microsoft.com/office/drawing/2014/chart" uri="{C3380CC4-5D6E-409C-BE32-E72D297353CC}">
              <c16:uniqueId val="{00000000-2B20-44B4-99C7-A4D4FC5F15B0}"/>
            </c:ext>
          </c:extLst>
        </c:ser>
        <c:ser>
          <c:idx val="0"/>
          <c:order val="1"/>
          <c:tx>
            <c:strRef>
              <c:f>Ergebnis!$L$5</c:f>
              <c:strCache>
                <c:ptCount val="1"/>
                <c:pt idx="0">
                  <c:v>Überleitung </c:v>
                </c:pt>
              </c:strCache>
            </c:strRef>
          </c:tx>
          <c:spPr>
            <a:gradFill rotWithShape="0">
              <a:gsLst>
                <a:gs pos="0">
                  <a:srgbClr val="0000FF"/>
                </a:gs>
                <a:gs pos="100000">
                  <a:srgbClr val="FFFFFF"/>
                </a:gs>
              </a:gsLst>
              <a:lin ang="0" scaled="1"/>
            </a:gradFill>
            <a:ln w="3175">
              <a:solidFill>
                <a:srgbClr val="0000FF"/>
              </a:solidFill>
              <a:prstDash val="solid"/>
            </a:ln>
          </c:spPr>
          <c:invertIfNegative val="0"/>
          <c:dLbls>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Ergebnis!$L$8:$L$13</c:f>
              <c:numCache>
                <c:formatCode>_-* #,##0_D_-;\-* #,##0\ _D_M_-;_-* "-"\ _D_M_-;_-@_-</c:formatCode>
                <c:ptCount val="6"/>
                <c:pt idx="0">
                  <c:v>240</c:v>
                </c:pt>
                <c:pt idx="1">
                  <c:v>120</c:v>
                </c:pt>
                <c:pt idx="2">
                  <c:v>30</c:v>
                </c:pt>
                <c:pt idx="3">
                  <c:v>60</c:v>
                </c:pt>
                <c:pt idx="4">
                  <c:v>30</c:v>
                </c:pt>
                <c:pt idx="5">
                  <c:v>60</c:v>
                </c:pt>
              </c:numCache>
            </c:numRef>
          </c:val>
          <c:extLst>
            <c:ext xmlns:c16="http://schemas.microsoft.com/office/drawing/2014/chart" uri="{C3380CC4-5D6E-409C-BE32-E72D297353CC}">
              <c16:uniqueId val="{00000001-2B20-44B4-99C7-A4D4FC5F15B0}"/>
            </c:ext>
          </c:extLst>
        </c:ser>
        <c:ser>
          <c:idx val="2"/>
          <c:order val="2"/>
          <c:tx>
            <c:strRef>
              <c:f>Ergebnis!$M$5</c:f>
              <c:strCache>
                <c:ptCount val="1"/>
                <c:pt idx="0">
                  <c:v>Grundstk-KA </c:v>
                </c:pt>
              </c:strCache>
            </c:strRef>
          </c:tx>
          <c:spPr>
            <a:gradFill rotWithShape="0">
              <a:gsLst>
                <a:gs pos="0">
                  <a:srgbClr val="00FF00"/>
                </a:gs>
                <a:gs pos="100000">
                  <a:srgbClr val="FFFFFF"/>
                </a:gs>
              </a:gsLst>
              <a:lin ang="0" scaled="1"/>
            </a:gradFill>
            <a:ln w="3175">
              <a:solidFill>
                <a:srgbClr val="00FF00"/>
              </a:solidFill>
              <a:prstDash val="solid"/>
            </a:ln>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Ergebnis!$M$8:$M$13</c:f>
              <c:numCache>
                <c:formatCode>_-* #,##0_D_-;\-* #,##0\ _D_M_-;_-* "-"\ _D_M_-;_-@_-</c:formatCode>
                <c:ptCount val="6"/>
                <c:pt idx="0">
                  <c:v>120</c:v>
                </c:pt>
                <c:pt idx="1">
                  <c:v>60</c:v>
                </c:pt>
                <c:pt idx="2">
                  <c:v>60</c:v>
                </c:pt>
                <c:pt idx="3">
                  <c:v>60</c:v>
                </c:pt>
                <c:pt idx="4">
                  <c:v>60</c:v>
                </c:pt>
                <c:pt idx="5">
                  <c:v>40</c:v>
                </c:pt>
              </c:numCache>
            </c:numRef>
          </c:val>
          <c:extLst>
            <c:ext xmlns:c16="http://schemas.microsoft.com/office/drawing/2014/chart" uri="{C3380CC4-5D6E-409C-BE32-E72D297353CC}">
              <c16:uniqueId val="{00000002-2B20-44B4-99C7-A4D4FC5F15B0}"/>
            </c:ext>
          </c:extLst>
        </c:ser>
        <c:ser>
          <c:idx val="3"/>
          <c:order val="3"/>
          <c:tx>
            <c:strRef>
              <c:f>Ergebnis!$N$5</c:f>
              <c:strCache>
                <c:ptCount val="1"/>
                <c:pt idx="0">
                  <c:v>Text 4</c:v>
                </c:pt>
              </c:strCache>
            </c:strRef>
          </c:tx>
          <c:spPr>
            <a:gradFill>
              <a:gsLst>
                <a:gs pos="0">
                  <a:srgbClr val="FFC000"/>
                </a:gs>
                <a:gs pos="100000">
                  <a:schemeClr val="bg1"/>
                </a:gs>
              </a:gsLst>
              <a:lin ang="0" scaled="1"/>
            </a:gradFill>
            <a:ln w="3175">
              <a:solidFill>
                <a:srgbClr val="FFC000"/>
              </a:solidFill>
            </a:ln>
          </c:spPr>
          <c:invertIfNegative val="0"/>
          <c:dLbls>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Ergebnis!$N$8:$N$13</c:f>
              <c:numCache>
                <c:formatCode>_-* #,##0_D_-;\-* #,##0\ _D_M_-;_-* "-"\ _D_M_-;_-@_-</c:formatCode>
                <c:ptCount val="6"/>
                <c:pt idx="0">
                  <c:v>240</c:v>
                </c:pt>
                <c:pt idx="1">
                  <c:v>60</c:v>
                </c:pt>
                <c:pt idx="2">
                  <c:v>20</c:v>
                </c:pt>
                <c:pt idx="3">
                  <c:v>30</c:v>
                </c:pt>
                <c:pt idx="4">
                  <c:v>20</c:v>
                </c:pt>
                <c:pt idx="5">
                  <c:v>60</c:v>
                </c:pt>
              </c:numCache>
            </c:numRef>
          </c:val>
          <c:extLst>
            <c:ext xmlns:c16="http://schemas.microsoft.com/office/drawing/2014/chart" uri="{C3380CC4-5D6E-409C-BE32-E72D297353CC}">
              <c16:uniqueId val="{00000000-5CD7-4026-B8CB-F62EB343D98F}"/>
            </c:ext>
          </c:extLst>
        </c:ser>
        <c:ser>
          <c:idx val="4"/>
          <c:order val="4"/>
          <c:tx>
            <c:strRef>
              <c:f>Ergebnis!$O$5</c:f>
              <c:strCache>
                <c:ptCount val="1"/>
                <c:pt idx="0">
                  <c:v>Text 5</c:v>
                </c:pt>
              </c:strCache>
            </c:strRef>
          </c:tx>
          <c:spPr>
            <a:gradFill>
              <a:gsLst>
                <a:gs pos="0">
                  <a:srgbClr val="FF99FF"/>
                </a:gs>
                <a:gs pos="100000">
                  <a:schemeClr val="bg1"/>
                </a:gs>
              </a:gsLst>
              <a:lin ang="0" scaled="1"/>
            </a:gradFill>
            <a:ln w="3175">
              <a:solidFill>
                <a:srgbClr val="FF99FF"/>
              </a:solidFill>
            </a:ln>
          </c:spPr>
          <c:invertIfNegative val="0"/>
          <c:dLbls>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Ergebnis!$B$8:$B$13</c:f>
              <c:strCache>
                <c:ptCount val="6"/>
                <c:pt idx="0">
                  <c:v>Reinigungsleistung</c:v>
                </c:pt>
                <c:pt idx="1">
                  <c:v>Sicherheit / Stabilität</c:v>
                </c:pt>
                <c:pt idx="2">
                  <c:v>Wasserführung / Hydrologie</c:v>
                </c:pt>
                <c:pt idx="3">
                  <c:v>Landschaftliche Einbindung</c:v>
                </c:pt>
                <c:pt idx="4">
                  <c:v>Demografische Entwicklung</c:v>
                </c:pt>
                <c:pt idx="5">
                  <c:v>Kontrolle / Steuerung</c:v>
                </c:pt>
              </c:strCache>
            </c:strRef>
          </c:cat>
          <c:val>
            <c:numRef>
              <c:f>Ergebnis!$O$8:$O$13</c:f>
              <c:numCache>
                <c:formatCode>_-* #,##0_D_-;\-* #,##0\ _D_M_-;_-* "-"\ _D_M_-;_-@_-</c:formatCode>
                <c:ptCount val="6"/>
                <c:pt idx="0">
                  <c:v>120</c:v>
                </c:pt>
                <c:pt idx="1">
                  <c:v>80</c:v>
                </c:pt>
                <c:pt idx="2">
                  <c:v>30</c:v>
                </c:pt>
                <c:pt idx="3">
                  <c:v>40</c:v>
                </c:pt>
                <c:pt idx="4">
                  <c:v>30</c:v>
                </c:pt>
                <c:pt idx="5">
                  <c:v>40</c:v>
                </c:pt>
              </c:numCache>
            </c:numRef>
          </c:val>
          <c:extLst>
            <c:ext xmlns:c16="http://schemas.microsoft.com/office/drawing/2014/chart" uri="{C3380CC4-5D6E-409C-BE32-E72D297353CC}">
              <c16:uniqueId val="{00000001-5CD7-4026-B8CB-F62EB343D98F}"/>
            </c:ext>
          </c:extLst>
        </c:ser>
        <c:dLbls>
          <c:showLegendKey val="0"/>
          <c:showVal val="0"/>
          <c:showCatName val="0"/>
          <c:showSerName val="0"/>
          <c:showPercent val="0"/>
          <c:showBubbleSize val="0"/>
        </c:dLbls>
        <c:gapWidth val="150"/>
        <c:axId val="114553984"/>
        <c:axId val="114555520"/>
      </c:barChart>
      <c:catAx>
        <c:axId val="11455398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4555520"/>
        <c:crosses val="autoZero"/>
        <c:auto val="1"/>
        <c:lblAlgn val="ctr"/>
        <c:lblOffset val="100"/>
        <c:tickLblSkip val="1"/>
        <c:tickMarkSkip val="1"/>
        <c:noMultiLvlLbl val="0"/>
      </c:catAx>
      <c:valAx>
        <c:axId val="114555520"/>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Teilnutzwert</a:t>
                </a:r>
              </a:p>
            </c:rich>
          </c:tx>
          <c:layout>
            <c:manualLayout>
              <c:xMode val="edge"/>
              <c:yMode val="edge"/>
              <c:x val="0"/>
              <c:y val="0.385521885521885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4553984"/>
        <c:crosses val="autoZero"/>
        <c:crossBetween val="between"/>
      </c:valAx>
      <c:spPr>
        <a:solidFill>
          <a:srgbClr val="FFFFFF"/>
        </a:solid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437500000000001"/>
          <c:y val="2.0202020202020204E-2"/>
        </c:manualLayout>
      </c:layout>
      <c:overlay val="0"/>
      <c:spPr>
        <a:noFill/>
        <a:ln w="25400">
          <a:noFill/>
        </a:ln>
      </c:spPr>
      <c:txPr>
        <a:bodyPr/>
        <a:lstStyle/>
        <a:p>
          <a:pPr>
            <a:defRPr sz="14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9.583333333333334E-2"/>
          <c:y val="0.11784511784511785"/>
          <c:w val="0.89687499999999998"/>
          <c:h val="0.74242424242424243"/>
        </c:manualLayout>
      </c:layout>
      <c:barChart>
        <c:barDir val="col"/>
        <c:grouping val="clustered"/>
        <c:varyColors val="0"/>
        <c:ser>
          <c:idx val="0"/>
          <c:order val="0"/>
          <c:tx>
            <c:strRef>
              <c:f>Ergebnis!$J$16</c:f>
              <c:strCache>
                <c:ptCount val="1"/>
                <c:pt idx="0">
                  <c:v>Nutzwert (NW)</c:v>
                </c:pt>
              </c:strCache>
            </c:strRef>
          </c:tx>
          <c:spPr>
            <a:gradFill rotWithShape="0">
              <a:gsLst>
                <a:gs pos="0">
                  <a:srgbClr val="FF0000"/>
                </a:gs>
                <a:gs pos="100000">
                  <a:srgbClr val="FFFFFF"/>
                </a:gs>
              </a:gsLst>
              <a:lin ang="0" scaled="1"/>
            </a:gradFill>
            <a:ln w="3175">
              <a:solidFill>
                <a:srgbClr val="FF0000"/>
              </a:solidFill>
              <a:prstDash val="solid"/>
            </a:ln>
          </c:spPr>
          <c:invertIfNegative val="0"/>
          <c:dPt>
            <c:idx val="1"/>
            <c:invertIfNegative val="0"/>
            <c:bubble3D val="0"/>
            <c:spPr>
              <a:gradFill rotWithShape="0">
                <a:gsLst>
                  <a:gs pos="0">
                    <a:srgbClr val="0000FF"/>
                  </a:gs>
                  <a:gs pos="100000">
                    <a:srgbClr val="FFFFFF"/>
                  </a:gs>
                </a:gsLst>
                <a:lin ang="0" scaled="1"/>
              </a:gradFill>
              <a:ln w="3175">
                <a:solidFill>
                  <a:srgbClr val="0000FF"/>
                </a:solidFill>
                <a:prstDash val="solid"/>
              </a:ln>
            </c:spPr>
            <c:extLst>
              <c:ext xmlns:c16="http://schemas.microsoft.com/office/drawing/2014/chart" uri="{C3380CC4-5D6E-409C-BE32-E72D297353CC}">
                <c16:uniqueId val="{00000001-EA1B-44F5-8ED1-31F9AD155520}"/>
              </c:ext>
            </c:extLst>
          </c:dPt>
          <c:dPt>
            <c:idx val="2"/>
            <c:invertIfNegative val="0"/>
            <c:bubble3D val="0"/>
            <c:spPr>
              <a:gradFill rotWithShape="0">
                <a:gsLst>
                  <a:gs pos="0">
                    <a:srgbClr val="00FF00"/>
                  </a:gs>
                  <a:gs pos="100000">
                    <a:srgbClr val="FFFFFF"/>
                  </a:gs>
                </a:gsLst>
                <a:lin ang="0" scaled="1"/>
              </a:gradFill>
              <a:ln w="3175">
                <a:solidFill>
                  <a:srgbClr val="00FF00"/>
                </a:solidFill>
                <a:prstDash val="solid"/>
              </a:ln>
            </c:spPr>
            <c:extLst>
              <c:ext xmlns:c16="http://schemas.microsoft.com/office/drawing/2014/chart" uri="{C3380CC4-5D6E-409C-BE32-E72D297353CC}">
                <c16:uniqueId val="{00000003-EA1B-44F5-8ED1-31F9AD155520}"/>
              </c:ext>
            </c:extLst>
          </c:dPt>
          <c:dPt>
            <c:idx val="3"/>
            <c:invertIfNegative val="0"/>
            <c:bubble3D val="0"/>
            <c:spPr>
              <a:gradFill rotWithShape="0">
                <a:gsLst>
                  <a:gs pos="0">
                    <a:srgbClr val="FFC000"/>
                  </a:gs>
                  <a:gs pos="100000">
                    <a:srgbClr val="FFFFFF"/>
                  </a:gs>
                </a:gsLst>
                <a:lin ang="0" scaled="1"/>
              </a:gradFill>
              <a:ln w="3175">
                <a:solidFill>
                  <a:srgbClr val="FFC000"/>
                </a:solidFill>
                <a:prstDash val="solid"/>
              </a:ln>
            </c:spPr>
            <c:extLst>
              <c:ext xmlns:c16="http://schemas.microsoft.com/office/drawing/2014/chart" uri="{C3380CC4-5D6E-409C-BE32-E72D297353CC}">
                <c16:uniqueId val="{00000004-6B75-466F-9C1D-32F71BCB5904}"/>
              </c:ext>
            </c:extLst>
          </c:dPt>
          <c:dPt>
            <c:idx val="4"/>
            <c:invertIfNegative val="0"/>
            <c:bubble3D val="0"/>
            <c:spPr>
              <a:gradFill rotWithShape="0">
                <a:gsLst>
                  <a:gs pos="0">
                    <a:srgbClr val="FF99FF"/>
                  </a:gs>
                  <a:gs pos="100000">
                    <a:srgbClr val="FFFFFF"/>
                  </a:gs>
                </a:gsLst>
                <a:lin ang="0" scaled="1"/>
              </a:gradFill>
              <a:ln w="3175">
                <a:solidFill>
                  <a:srgbClr val="FF99FF"/>
                </a:solidFill>
                <a:prstDash val="solid"/>
              </a:ln>
            </c:spPr>
            <c:extLst>
              <c:ext xmlns:c16="http://schemas.microsoft.com/office/drawing/2014/chart" uri="{C3380CC4-5D6E-409C-BE32-E72D297353CC}">
                <c16:uniqueId val="{00000005-6B75-466F-9C1D-32F71BCB5904}"/>
              </c:ext>
            </c:extLst>
          </c:dPt>
          <c:dLbls>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Ergebnis!$K$5:$O$5</c:f>
              <c:strCache>
                <c:ptCount val="5"/>
                <c:pt idx="0">
                  <c:v>Orts-KA </c:v>
                </c:pt>
                <c:pt idx="1">
                  <c:v>Überleitung </c:v>
                </c:pt>
                <c:pt idx="2">
                  <c:v>Grundstk-KA </c:v>
                </c:pt>
                <c:pt idx="3">
                  <c:v>Text 4</c:v>
                </c:pt>
                <c:pt idx="4">
                  <c:v>Text 5</c:v>
                </c:pt>
              </c:strCache>
            </c:strRef>
          </c:cat>
          <c:val>
            <c:numRef>
              <c:f>Ergebnis!$K$16:$O$16</c:f>
              <c:numCache>
                <c:formatCode>_-* #,##0_D_-;\-* #,##0\ _D_M_-;_-* "-"\ _D_M_-;_-@_-</c:formatCode>
                <c:ptCount val="5"/>
                <c:pt idx="0">
                  <c:v>480</c:v>
                </c:pt>
                <c:pt idx="1">
                  <c:v>540</c:v>
                </c:pt>
                <c:pt idx="2">
                  <c:v>400</c:v>
                </c:pt>
                <c:pt idx="3">
                  <c:v>430</c:v>
                </c:pt>
                <c:pt idx="4">
                  <c:v>340</c:v>
                </c:pt>
              </c:numCache>
            </c:numRef>
          </c:val>
          <c:extLst>
            <c:ext xmlns:c16="http://schemas.microsoft.com/office/drawing/2014/chart" uri="{C3380CC4-5D6E-409C-BE32-E72D297353CC}">
              <c16:uniqueId val="{00000004-EA1B-44F5-8ED1-31F9AD155520}"/>
            </c:ext>
          </c:extLst>
        </c:ser>
        <c:dLbls>
          <c:showLegendKey val="0"/>
          <c:showVal val="0"/>
          <c:showCatName val="0"/>
          <c:showSerName val="0"/>
          <c:showPercent val="0"/>
          <c:showBubbleSize val="0"/>
        </c:dLbls>
        <c:gapWidth val="150"/>
        <c:axId val="115821952"/>
        <c:axId val="117662848"/>
      </c:barChart>
      <c:catAx>
        <c:axId val="11582195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117662848"/>
        <c:crosses val="autoZero"/>
        <c:auto val="1"/>
        <c:lblAlgn val="ctr"/>
        <c:lblOffset val="100"/>
        <c:tickLblSkip val="1"/>
        <c:tickMarkSkip val="1"/>
        <c:noMultiLvlLbl val="0"/>
      </c:catAx>
      <c:valAx>
        <c:axId val="117662848"/>
        <c:scaling>
          <c:orientation val="minMax"/>
        </c:scaling>
        <c:delete val="0"/>
        <c:axPos val="l"/>
        <c:majorGridlines>
          <c:spPr>
            <a:ln w="3175">
              <a:solidFill>
                <a:srgbClr val="000000"/>
              </a:solidFill>
              <a:prstDash val="solid"/>
            </a:ln>
          </c:spPr>
        </c:majorGridlines>
        <c:title>
          <c:tx>
            <c:rich>
              <a:bodyPr/>
              <a:lstStyle/>
              <a:p>
                <a:pPr>
                  <a:defRPr sz="1400" b="0" i="0" u="none" strike="noStrike" baseline="0">
                    <a:solidFill>
                      <a:srgbClr val="000000"/>
                    </a:solidFill>
                    <a:latin typeface="Arial"/>
                    <a:ea typeface="Arial"/>
                    <a:cs typeface="Arial"/>
                  </a:defRPr>
                </a:pPr>
                <a:r>
                  <a:rPr lang="de-DE"/>
                  <a:t>Nutzwert</a:t>
                </a:r>
              </a:p>
            </c:rich>
          </c:tx>
          <c:layout>
            <c:manualLayout>
              <c:xMode val="edge"/>
              <c:yMode val="edge"/>
              <c:x val="1.0416666666666667E-3"/>
              <c:y val="0.424242424242424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15821952"/>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de-DE"/>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m9">
    <tabColor indexed="43"/>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codeName="Diagramm5">
    <tabColor indexed="43"/>
  </sheetPr>
  <sheetViews>
    <sheetView zoomScale="120" workbookViewId="0"/>
  </sheetViews>
  <pageMargins left="0.78740157480314965" right="0.78740157480314965" top="0.98425196850393704" bottom="0.98425196850393704" header="0.51181102362204722" footer="0.51181102362204722"/>
  <pageSetup paperSize="9" orientation="landscape" horizontalDpi="4294967293" verticalDpi="300" r:id="rId1"/>
  <headerFooter alignWithMargins="0">
    <oddHeader>&amp;R&amp;"Arial,Fett"&amp;8Jedele und Partner GmbH</oddHeader>
    <oddFooter>&amp;L&amp;6&amp;F   &amp;A   &amp;D</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m10">
    <tabColor indexed="47"/>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codeName="Diagramm6">
    <tabColor theme="9" tint="0.39997558519241921"/>
  </sheetPr>
  <sheetViews>
    <sheetView zoomScale="120" workbookViewId="0"/>
  </sheetViews>
  <pageMargins left="0.78740157480314965" right="0.78740157480314965" top="0.98425196850393704" bottom="0.98425196850393704" header="0.51181102362204722" footer="0.51181102362204722"/>
  <pageSetup paperSize="9" orientation="landscape" horizontalDpi="4294967293" verticalDpi="300" r:id="rId1"/>
  <headerFooter alignWithMargins="0">
    <oddHeader>&amp;R&amp;"Arial,Fett"&amp;8Jedele und Partner GmbH</oddHeader>
    <oddFooter>&amp;L&amp;6&amp;F   &amp;A   &amp;D</oddFoot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m3">
    <tabColor indexed="41"/>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Diagramm4">
    <tabColor indexed="41"/>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m7">
    <tabColor indexed="41"/>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Diagramm8">
    <tabColor indexed="41"/>
  </sheetPr>
  <sheetViews>
    <sheetView zoomScale="120" workbookViewId="0"/>
  </sheetViews>
  <pageMargins left="0.78740157480314965" right="0.78740157480314965" top="0.98425196850393704" bottom="0.98425196850393704" header="0.51181102362204722" footer="0.51181102362204722"/>
  <pageSetup paperSize="9" orientation="landscape" r:id="rId1"/>
  <headerFooter alignWithMargins="0">
    <oddHeader>&amp;R&amp;"Arial,Fett"&amp;8Jedele und Partner GmbH</oddHeader>
    <oddFooter>&amp;L&amp;6&amp;F   &amp;A   &amp;D</oddFooter>
  </headerFooter>
  <drawing r:id="rId2"/>
</chartsheet>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9448800</xdr:colOff>
          <xdr:row>11</xdr:row>
          <xdr:rowOff>95250</xdr:rowOff>
        </xdr:from>
        <xdr:to>
          <xdr:col>1</xdr:col>
          <xdr:colOff>10296525</xdr:colOff>
          <xdr:row>15</xdr:row>
          <xdr:rowOff>9525</xdr:rowOff>
        </xdr:to>
        <xdr:sp macro="" textlink="">
          <xdr:nvSpPr>
            <xdr:cNvPr id="74753" name="Object 1" hidden="1">
              <a:extLst>
                <a:ext uri="{63B3BB69-23CF-44E3-9099-C40C66FF867C}">
                  <a14:compatExt spid="_x0000_s74753"/>
                </a:ext>
                <a:ext uri="{FF2B5EF4-FFF2-40B4-BE49-F238E27FC236}">
                  <a16:creationId xmlns:a16="http://schemas.microsoft.com/office/drawing/2014/main" id="{00000000-0008-0000-0100-0000012401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00FFFF" mc:Ignorable="a14" a14:legacySpreadsheetColorIndex="15"/>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138708" cy="5646208"/>
    <xdr:graphicFrame macro="">
      <xdr:nvGraphicFramePr>
        <xdr:cNvPr id="2" name="Diagram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138708" cy="5646208"/>
    <xdr:graphicFrame macro="">
      <xdr:nvGraphicFramePr>
        <xdr:cNvPr id="2" name="Diagramm 1">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342900</xdr:colOff>
          <xdr:row>28</xdr:row>
          <xdr:rowOff>66675</xdr:rowOff>
        </xdr:from>
        <xdr:to>
          <xdr:col>20</xdr:col>
          <xdr:colOff>533400</xdr:colOff>
          <xdr:row>46</xdr:row>
          <xdr:rowOff>66675</xdr:rowOff>
        </xdr:to>
        <xdr:sp macro="" textlink="">
          <xdr:nvSpPr>
            <xdr:cNvPr id="3118" name="Button 46" hidden="1">
              <a:extLst>
                <a:ext uri="{63B3BB69-23CF-44E3-9099-C40C66FF867C}">
                  <a14:compatExt spid="_x0000_s3118"/>
                </a:ext>
                <a:ext uri="{FF2B5EF4-FFF2-40B4-BE49-F238E27FC236}">
                  <a16:creationId xmlns:a16="http://schemas.microsoft.com/office/drawing/2014/main" id="{00000000-0008-0000-1200-00002E0C0000}"/>
                </a:ext>
              </a:extLst>
            </xdr:cNvPr>
            <xdr:cNvSpPr/>
          </xdr:nvSpPr>
          <xdr:spPr bwMode="auto">
            <a:xfrm>
              <a:off x="0" y="0"/>
              <a:ext cx="0" cy="0"/>
            </a:xfrm>
            <a:prstGeom prst="rect">
              <a:avLst/>
            </a:prstGeom>
            <a:noFill/>
            <a:ln w="9525">
              <a:miter lim="800000"/>
              <a:headEnd/>
              <a:tailEnd/>
            </a:ln>
          </xdr:spPr>
          <xdr:txBody>
            <a:bodyPr vertOverflow="clip" wrap="square" lIns="54864" tIns="45720" rIns="54864" bIns="45720" anchor="ctr" upright="1"/>
            <a:lstStyle/>
            <a:p>
              <a:pPr algn="ctr" rtl="0">
                <a:defRPr sz="1000"/>
              </a:pPr>
              <a:r>
                <a:rPr lang="de-DE" sz="2600" b="0" i="0" u="none" strike="noStrike" baseline="0">
                  <a:solidFill>
                    <a:srgbClr val="000000"/>
                  </a:solidFill>
                  <a:latin typeface="Arial"/>
                  <a:cs typeface="Arial"/>
                </a:rPr>
                <a:t>Diese Tabelle ist eine Hilfstabelle zur Darstellung der Projektkostenbarwerte und Nutzwertkosten über 50 Jahre. Es sind keine Eingaben durch den Anwender erforderlich.</a:t>
              </a:r>
            </a:p>
            <a:p>
              <a:pPr algn="ctr" rtl="0">
                <a:defRPr sz="1000"/>
              </a:pPr>
              <a:endParaRPr lang="de-DE" sz="2600" b="0" i="0" u="none" strike="noStrike" baseline="0">
                <a:solidFill>
                  <a:srgbClr val="000000"/>
                </a:solidFill>
                <a:latin typeface="Arial"/>
                <a:cs typeface="Arial"/>
              </a:endParaRPr>
            </a:p>
            <a:p>
              <a:pPr algn="ctr" rtl="0">
                <a:defRPr sz="1000"/>
              </a:pPr>
              <a:r>
                <a:rPr lang="de-DE" sz="2600" b="0" i="0" u="none" strike="noStrike" baseline="0">
                  <a:solidFill>
                    <a:srgbClr val="000000"/>
                  </a:solidFill>
                  <a:latin typeface="Arial"/>
                  <a:cs typeface="Arial"/>
                </a:rPr>
                <a:t>=&gt; zurück zum Ergebnis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695325</xdr:colOff>
      <xdr:row>13</xdr:row>
      <xdr:rowOff>57150</xdr:rowOff>
    </xdr:from>
    <xdr:to>
      <xdr:col>10</xdr:col>
      <xdr:colOff>695325</xdr:colOff>
      <xdr:row>14</xdr:row>
      <xdr:rowOff>123825</xdr:rowOff>
    </xdr:to>
    <xdr:sp macro="" textlink="">
      <xdr:nvSpPr>
        <xdr:cNvPr id="1709" name="Line 34">
          <a:extLst>
            <a:ext uri="{FF2B5EF4-FFF2-40B4-BE49-F238E27FC236}">
              <a16:creationId xmlns:a16="http://schemas.microsoft.com/office/drawing/2014/main" id="{00000000-0008-0000-0400-0000AD060000}"/>
            </a:ext>
          </a:extLst>
        </xdr:cNvPr>
        <xdr:cNvSpPr>
          <a:spLocks noChangeShapeType="1"/>
        </xdr:cNvSpPr>
      </xdr:nvSpPr>
      <xdr:spPr bwMode="auto">
        <a:xfrm>
          <a:off x="9039225" y="2876550"/>
          <a:ext cx="0" cy="257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11</xdr:col>
      <xdr:colOff>714375</xdr:colOff>
      <xdr:row>13</xdr:row>
      <xdr:rowOff>47625</xdr:rowOff>
    </xdr:from>
    <xdr:to>
      <xdr:col>11</xdr:col>
      <xdr:colOff>714375</xdr:colOff>
      <xdr:row>14</xdr:row>
      <xdr:rowOff>114300</xdr:rowOff>
    </xdr:to>
    <xdr:sp macro="" textlink="">
      <xdr:nvSpPr>
        <xdr:cNvPr id="1710" name="Line 35">
          <a:extLst>
            <a:ext uri="{FF2B5EF4-FFF2-40B4-BE49-F238E27FC236}">
              <a16:creationId xmlns:a16="http://schemas.microsoft.com/office/drawing/2014/main" id="{00000000-0008-0000-0400-0000AE060000}"/>
            </a:ext>
          </a:extLst>
        </xdr:cNvPr>
        <xdr:cNvSpPr>
          <a:spLocks noChangeShapeType="1"/>
        </xdr:cNvSpPr>
      </xdr:nvSpPr>
      <xdr:spPr bwMode="auto">
        <a:xfrm>
          <a:off x="10325100" y="2867025"/>
          <a:ext cx="0" cy="257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695325</xdr:colOff>
      <xdr:row>13</xdr:row>
      <xdr:rowOff>47625</xdr:rowOff>
    </xdr:from>
    <xdr:to>
      <xdr:col>12</xdr:col>
      <xdr:colOff>695325</xdr:colOff>
      <xdr:row>14</xdr:row>
      <xdr:rowOff>114300</xdr:rowOff>
    </xdr:to>
    <xdr:sp macro="" textlink="">
      <xdr:nvSpPr>
        <xdr:cNvPr id="1711" name="Line 36">
          <a:extLst>
            <a:ext uri="{FF2B5EF4-FFF2-40B4-BE49-F238E27FC236}">
              <a16:creationId xmlns:a16="http://schemas.microsoft.com/office/drawing/2014/main" id="{00000000-0008-0000-0400-0000AF060000}"/>
            </a:ext>
          </a:extLst>
        </xdr:cNvPr>
        <xdr:cNvSpPr>
          <a:spLocks noChangeShapeType="1"/>
        </xdr:cNvSpPr>
      </xdr:nvSpPr>
      <xdr:spPr bwMode="auto">
        <a:xfrm>
          <a:off x="11572875" y="2867025"/>
          <a:ext cx="0" cy="257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8</xdr:col>
      <xdr:colOff>485775</xdr:colOff>
      <xdr:row>7</xdr:row>
      <xdr:rowOff>95250</xdr:rowOff>
    </xdr:from>
    <xdr:to>
      <xdr:col>9</xdr:col>
      <xdr:colOff>933450</xdr:colOff>
      <xdr:row>12</xdr:row>
      <xdr:rowOff>47625</xdr:rowOff>
    </xdr:to>
    <xdr:sp macro="" textlink="">
      <xdr:nvSpPr>
        <xdr:cNvPr id="1712" name="AutoShape 37">
          <a:extLst>
            <a:ext uri="{FF2B5EF4-FFF2-40B4-BE49-F238E27FC236}">
              <a16:creationId xmlns:a16="http://schemas.microsoft.com/office/drawing/2014/main" id="{00000000-0008-0000-0400-0000B0060000}"/>
            </a:ext>
          </a:extLst>
        </xdr:cNvPr>
        <xdr:cNvSpPr>
          <a:spLocks noChangeArrowheads="1"/>
        </xdr:cNvSpPr>
      </xdr:nvSpPr>
      <xdr:spPr bwMode="auto">
        <a:xfrm>
          <a:off x="6877050" y="1771650"/>
          <a:ext cx="933450" cy="904875"/>
        </a:xfrm>
        <a:prstGeom prst="rightArrow">
          <a:avLst>
            <a:gd name="adj1" fmla="val 50000"/>
            <a:gd name="adj2" fmla="val 257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514350</xdr:colOff>
      <xdr:row>59</xdr:row>
      <xdr:rowOff>57150</xdr:rowOff>
    </xdr:from>
    <xdr:to>
      <xdr:col>15</xdr:col>
      <xdr:colOff>514350</xdr:colOff>
      <xdr:row>63</xdr:row>
      <xdr:rowOff>38100</xdr:rowOff>
    </xdr:to>
    <xdr:sp macro="" textlink="">
      <xdr:nvSpPr>
        <xdr:cNvPr id="5837" name="Line 2">
          <a:extLst>
            <a:ext uri="{FF2B5EF4-FFF2-40B4-BE49-F238E27FC236}">
              <a16:creationId xmlns:a16="http://schemas.microsoft.com/office/drawing/2014/main" id="{00000000-0008-0000-0500-0000CD160000}"/>
            </a:ext>
          </a:extLst>
        </xdr:cNvPr>
        <xdr:cNvSpPr>
          <a:spLocks noChangeShapeType="1"/>
        </xdr:cNvSpPr>
      </xdr:nvSpPr>
      <xdr:spPr bwMode="auto">
        <a:xfrm>
          <a:off x="9944100" y="8096250"/>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16</xdr:col>
      <xdr:colOff>438150</xdr:colOff>
      <xdr:row>59</xdr:row>
      <xdr:rowOff>57150</xdr:rowOff>
    </xdr:from>
    <xdr:to>
      <xdr:col>16</xdr:col>
      <xdr:colOff>438150</xdr:colOff>
      <xdr:row>63</xdr:row>
      <xdr:rowOff>38100</xdr:rowOff>
    </xdr:to>
    <xdr:sp macro="" textlink="">
      <xdr:nvSpPr>
        <xdr:cNvPr id="5838" name="Line 3">
          <a:extLst>
            <a:ext uri="{FF2B5EF4-FFF2-40B4-BE49-F238E27FC236}">
              <a16:creationId xmlns:a16="http://schemas.microsoft.com/office/drawing/2014/main" id="{00000000-0008-0000-0500-0000CE160000}"/>
            </a:ext>
          </a:extLst>
        </xdr:cNvPr>
        <xdr:cNvSpPr>
          <a:spLocks noChangeShapeType="1"/>
        </xdr:cNvSpPr>
      </xdr:nvSpPr>
      <xdr:spPr bwMode="auto">
        <a:xfrm>
          <a:off x="10677525" y="8096250"/>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323850</xdr:colOff>
      <xdr:row>59</xdr:row>
      <xdr:rowOff>57150</xdr:rowOff>
    </xdr:from>
    <xdr:to>
      <xdr:col>12</xdr:col>
      <xdr:colOff>323850</xdr:colOff>
      <xdr:row>63</xdr:row>
      <xdr:rowOff>38100</xdr:rowOff>
    </xdr:to>
    <xdr:sp macro="" textlink="">
      <xdr:nvSpPr>
        <xdr:cNvPr id="5839" name="Line 50">
          <a:extLst>
            <a:ext uri="{FF2B5EF4-FFF2-40B4-BE49-F238E27FC236}">
              <a16:creationId xmlns:a16="http://schemas.microsoft.com/office/drawing/2014/main" id="{00000000-0008-0000-0500-0000CF160000}"/>
            </a:ext>
          </a:extLst>
        </xdr:cNvPr>
        <xdr:cNvSpPr>
          <a:spLocks noChangeShapeType="1"/>
        </xdr:cNvSpPr>
      </xdr:nvSpPr>
      <xdr:spPr bwMode="auto">
        <a:xfrm>
          <a:off x="8820150" y="8096250"/>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20</xdr:col>
      <xdr:colOff>304800</xdr:colOff>
      <xdr:row>59</xdr:row>
      <xdr:rowOff>57150</xdr:rowOff>
    </xdr:from>
    <xdr:to>
      <xdr:col>20</xdr:col>
      <xdr:colOff>304800</xdr:colOff>
      <xdr:row>63</xdr:row>
      <xdr:rowOff>38100</xdr:rowOff>
    </xdr:to>
    <xdr:sp macro="" textlink="">
      <xdr:nvSpPr>
        <xdr:cNvPr id="5840" name="Line 52">
          <a:extLst>
            <a:ext uri="{FF2B5EF4-FFF2-40B4-BE49-F238E27FC236}">
              <a16:creationId xmlns:a16="http://schemas.microsoft.com/office/drawing/2014/main" id="{00000000-0008-0000-0500-0000D0160000}"/>
            </a:ext>
          </a:extLst>
        </xdr:cNvPr>
        <xdr:cNvSpPr>
          <a:spLocks noChangeShapeType="1"/>
        </xdr:cNvSpPr>
      </xdr:nvSpPr>
      <xdr:spPr bwMode="auto">
        <a:xfrm>
          <a:off x="14039850" y="8096250"/>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256</xdr:col>
          <xdr:colOff>0</xdr:colOff>
          <xdr:row>194</xdr:row>
          <xdr:rowOff>95250</xdr:rowOff>
        </xdr:from>
        <xdr:to>
          <xdr:col>257</xdr:col>
          <xdr:colOff>38100</xdr:colOff>
          <xdr:row>208</xdr:row>
          <xdr:rowOff>0</xdr:rowOff>
        </xdr:to>
        <xdr:sp macro="" textlink="">
          <xdr:nvSpPr>
            <xdr:cNvPr id="5194" name="Button 74" hidden="1">
              <a:extLst>
                <a:ext uri="{63B3BB69-23CF-44E3-9099-C40C66FF867C}">
                  <a14:compatExt spid="_x0000_s5194"/>
                </a:ext>
                <a:ext uri="{FF2B5EF4-FFF2-40B4-BE49-F238E27FC236}">
                  <a16:creationId xmlns:a16="http://schemas.microsoft.com/office/drawing/2014/main" id="{00000000-0008-0000-0500-00004A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600" b="0" i="0" u="none" strike="noStrike" baseline="0">
                  <a:solidFill>
                    <a:srgbClr val="000000"/>
                  </a:solidFill>
                  <a:latin typeface="Arial"/>
                  <a:cs typeface="Arial"/>
                </a:rPr>
                <a:t>zur Eingabe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256</xdr:col>
          <xdr:colOff>0</xdr:colOff>
          <xdr:row>177</xdr:row>
          <xdr:rowOff>95250</xdr:rowOff>
        </xdr:from>
        <xdr:to>
          <xdr:col>257</xdr:col>
          <xdr:colOff>38100</xdr:colOff>
          <xdr:row>191</xdr:row>
          <xdr:rowOff>0</xdr:rowOff>
        </xdr:to>
        <xdr:sp macro="" textlink="">
          <xdr:nvSpPr>
            <xdr:cNvPr id="5195" name="Button 75" hidden="1">
              <a:extLst>
                <a:ext uri="{63B3BB69-23CF-44E3-9099-C40C66FF867C}">
                  <a14:compatExt spid="_x0000_s5195"/>
                </a:ext>
                <a:ext uri="{FF2B5EF4-FFF2-40B4-BE49-F238E27FC236}">
                  <a16:creationId xmlns:a16="http://schemas.microsoft.com/office/drawing/2014/main" id="{00000000-0008-0000-0500-00004B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600" b="0" i="0" u="none" strike="noStrike" baseline="0">
                  <a:solidFill>
                    <a:srgbClr val="000000"/>
                  </a:solidFill>
                  <a:latin typeface="Arial"/>
                  <a:cs typeface="Arial"/>
                </a:rPr>
                <a:t>zur Eingabe 2</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15</xdr:col>
      <xdr:colOff>514350</xdr:colOff>
      <xdr:row>59</xdr:row>
      <xdr:rowOff>57150</xdr:rowOff>
    </xdr:from>
    <xdr:to>
      <xdr:col>15</xdr:col>
      <xdr:colOff>514350</xdr:colOff>
      <xdr:row>63</xdr:row>
      <xdr:rowOff>38100</xdr:rowOff>
    </xdr:to>
    <xdr:sp macro="" textlink="">
      <xdr:nvSpPr>
        <xdr:cNvPr id="18091" name="Line 2">
          <a:extLst>
            <a:ext uri="{FF2B5EF4-FFF2-40B4-BE49-F238E27FC236}">
              <a16:creationId xmlns:a16="http://schemas.microsoft.com/office/drawing/2014/main" id="{00000000-0008-0000-0600-0000AB460000}"/>
            </a:ext>
          </a:extLst>
        </xdr:cNvPr>
        <xdr:cNvSpPr>
          <a:spLocks noChangeShapeType="1"/>
        </xdr:cNvSpPr>
      </xdr:nvSpPr>
      <xdr:spPr bwMode="auto">
        <a:xfrm>
          <a:off x="9820275" y="81629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16</xdr:col>
      <xdr:colOff>438150</xdr:colOff>
      <xdr:row>59</xdr:row>
      <xdr:rowOff>57150</xdr:rowOff>
    </xdr:from>
    <xdr:to>
      <xdr:col>16</xdr:col>
      <xdr:colOff>438150</xdr:colOff>
      <xdr:row>63</xdr:row>
      <xdr:rowOff>38100</xdr:rowOff>
    </xdr:to>
    <xdr:sp macro="" textlink="">
      <xdr:nvSpPr>
        <xdr:cNvPr id="18092" name="Line 3">
          <a:extLst>
            <a:ext uri="{FF2B5EF4-FFF2-40B4-BE49-F238E27FC236}">
              <a16:creationId xmlns:a16="http://schemas.microsoft.com/office/drawing/2014/main" id="{00000000-0008-0000-0600-0000AC460000}"/>
            </a:ext>
          </a:extLst>
        </xdr:cNvPr>
        <xdr:cNvSpPr>
          <a:spLocks noChangeShapeType="1"/>
        </xdr:cNvSpPr>
      </xdr:nvSpPr>
      <xdr:spPr bwMode="auto">
        <a:xfrm>
          <a:off x="10553700" y="81629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323850</xdr:colOff>
      <xdr:row>59</xdr:row>
      <xdr:rowOff>57150</xdr:rowOff>
    </xdr:from>
    <xdr:to>
      <xdr:col>12</xdr:col>
      <xdr:colOff>323850</xdr:colOff>
      <xdr:row>63</xdr:row>
      <xdr:rowOff>38100</xdr:rowOff>
    </xdr:to>
    <xdr:sp macro="" textlink="">
      <xdr:nvSpPr>
        <xdr:cNvPr id="18093" name="Line 19">
          <a:extLst>
            <a:ext uri="{FF2B5EF4-FFF2-40B4-BE49-F238E27FC236}">
              <a16:creationId xmlns:a16="http://schemas.microsoft.com/office/drawing/2014/main" id="{00000000-0008-0000-0600-0000AD460000}"/>
            </a:ext>
          </a:extLst>
        </xdr:cNvPr>
        <xdr:cNvSpPr>
          <a:spLocks noChangeShapeType="1"/>
        </xdr:cNvSpPr>
      </xdr:nvSpPr>
      <xdr:spPr bwMode="auto">
        <a:xfrm>
          <a:off x="8696325" y="81629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20</xdr:col>
      <xdr:colOff>304800</xdr:colOff>
      <xdr:row>59</xdr:row>
      <xdr:rowOff>57150</xdr:rowOff>
    </xdr:from>
    <xdr:to>
      <xdr:col>20</xdr:col>
      <xdr:colOff>304800</xdr:colOff>
      <xdr:row>63</xdr:row>
      <xdr:rowOff>38100</xdr:rowOff>
    </xdr:to>
    <xdr:sp macro="" textlink="">
      <xdr:nvSpPr>
        <xdr:cNvPr id="18094" name="Line 21">
          <a:extLst>
            <a:ext uri="{FF2B5EF4-FFF2-40B4-BE49-F238E27FC236}">
              <a16:creationId xmlns:a16="http://schemas.microsoft.com/office/drawing/2014/main" id="{00000000-0008-0000-0600-0000AE460000}"/>
            </a:ext>
          </a:extLst>
        </xdr:cNvPr>
        <xdr:cNvSpPr>
          <a:spLocks noChangeShapeType="1"/>
        </xdr:cNvSpPr>
      </xdr:nvSpPr>
      <xdr:spPr bwMode="auto">
        <a:xfrm>
          <a:off x="13916025" y="81629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514350</xdr:colOff>
      <xdr:row>59</xdr:row>
      <xdr:rowOff>57150</xdr:rowOff>
    </xdr:from>
    <xdr:to>
      <xdr:col>15</xdr:col>
      <xdr:colOff>514350</xdr:colOff>
      <xdr:row>63</xdr:row>
      <xdr:rowOff>38100</xdr:rowOff>
    </xdr:to>
    <xdr:sp macro="" textlink="">
      <xdr:nvSpPr>
        <xdr:cNvPr id="19111" name="Line 2">
          <a:extLst>
            <a:ext uri="{FF2B5EF4-FFF2-40B4-BE49-F238E27FC236}">
              <a16:creationId xmlns:a16="http://schemas.microsoft.com/office/drawing/2014/main" id="{00000000-0008-0000-0700-0000A74A0000}"/>
            </a:ext>
          </a:extLst>
        </xdr:cNvPr>
        <xdr:cNvSpPr>
          <a:spLocks noChangeShapeType="1"/>
        </xdr:cNvSpPr>
      </xdr:nvSpPr>
      <xdr:spPr bwMode="auto">
        <a:xfrm>
          <a:off x="9582150" y="82010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16</xdr:col>
      <xdr:colOff>438150</xdr:colOff>
      <xdr:row>59</xdr:row>
      <xdr:rowOff>57150</xdr:rowOff>
    </xdr:from>
    <xdr:to>
      <xdr:col>16</xdr:col>
      <xdr:colOff>438150</xdr:colOff>
      <xdr:row>63</xdr:row>
      <xdr:rowOff>38100</xdr:rowOff>
    </xdr:to>
    <xdr:sp macro="" textlink="">
      <xdr:nvSpPr>
        <xdr:cNvPr id="19112" name="Line 3">
          <a:extLst>
            <a:ext uri="{FF2B5EF4-FFF2-40B4-BE49-F238E27FC236}">
              <a16:creationId xmlns:a16="http://schemas.microsoft.com/office/drawing/2014/main" id="{00000000-0008-0000-0700-0000A84A0000}"/>
            </a:ext>
          </a:extLst>
        </xdr:cNvPr>
        <xdr:cNvSpPr>
          <a:spLocks noChangeShapeType="1"/>
        </xdr:cNvSpPr>
      </xdr:nvSpPr>
      <xdr:spPr bwMode="auto">
        <a:xfrm>
          <a:off x="10315575" y="82010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323850</xdr:colOff>
      <xdr:row>59</xdr:row>
      <xdr:rowOff>57150</xdr:rowOff>
    </xdr:from>
    <xdr:to>
      <xdr:col>12</xdr:col>
      <xdr:colOff>323850</xdr:colOff>
      <xdr:row>63</xdr:row>
      <xdr:rowOff>38100</xdr:rowOff>
    </xdr:to>
    <xdr:sp macro="" textlink="">
      <xdr:nvSpPr>
        <xdr:cNvPr id="19113" name="Line 19">
          <a:extLst>
            <a:ext uri="{FF2B5EF4-FFF2-40B4-BE49-F238E27FC236}">
              <a16:creationId xmlns:a16="http://schemas.microsoft.com/office/drawing/2014/main" id="{00000000-0008-0000-0700-0000A94A0000}"/>
            </a:ext>
          </a:extLst>
        </xdr:cNvPr>
        <xdr:cNvSpPr>
          <a:spLocks noChangeShapeType="1"/>
        </xdr:cNvSpPr>
      </xdr:nvSpPr>
      <xdr:spPr bwMode="auto">
        <a:xfrm>
          <a:off x="8458200" y="82010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20</xdr:col>
      <xdr:colOff>304800</xdr:colOff>
      <xdr:row>59</xdr:row>
      <xdr:rowOff>57150</xdr:rowOff>
    </xdr:from>
    <xdr:to>
      <xdr:col>20</xdr:col>
      <xdr:colOff>304800</xdr:colOff>
      <xdr:row>63</xdr:row>
      <xdr:rowOff>38100</xdr:rowOff>
    </xdr:to>
    <xdr:sp macro="" textlink="">
      <xdr:nvSpPr>
        <xdr:cNvPr id="19114" name="Line 20">
          <a:extLst>
            <a:ext uri="{FF2B5EF4-FFF2-40B4-BE49-F238E27FC236}">
              <a16:creationId xmlns:a16="http://schemas.microsoft.com/office/drawing/2014/main" id="{00000000-0008-0000-0700-0000AA4A0000}"/>
            </a:ext>
          </a:extLst>
        </xdr:cNvPr>
        <xdr:cNvSpPr>
          <a:spLocks noChangeShapeType="1"/>
        </xdr:cNvSpPr>
      </xdr:nvSpPr>
      <xdr:spPr bwMode="auto">
        <a:xfrm>
          <a:off x="13677900" y="8201025"/>
          <a:ext cx="0" cy="638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514350</xdr:colOff>
      <xdr:row>59</xdr:row>
      <xdr:rowOff>57150</xdr:rowOff>
    </xdr:from>
    <xdr:to>
      <xdr:col>15</xdr:col>
      <xdr:colOff>514350</xdr:colOff>
      <xdr:row>63</xdr:row>
      <xdr:rowOff>38100</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bwMode="auto">
        <a:xfrm>
          <a:off x="1157287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16</xdr:col>
      <xdr:colOff>438150</xdr:colOff>
      <xdr:row>59</xdr:row>
      <xdr:rowOff>57150</xdr:rowOff>
    </xdr:from>
    <xdr:to>
      <xdr:col>16</xdr:col>
      <xdr:colOff>438150</xdr:colOff>
      <xdr:row>63</xdr:row>
      <xdr:rowOff>38100</xdr:rowOff>
    </xdr:to>
    <xdr:sp macro="" textlink="">
      <xdr:nvSpPr>
        <xdr:cNvPr id="3" name="Line 3">
          <a:extLst>
            <a:ext uri="{FF2B5EF4-FFF2-40B4-BE49-F238E27FC236}">
              <a16:creationId xmlns:a16="http://schemas.microsoft.com/office/drawing/2014/main" id="{00000000-0008-0000-0800-000003000000}"/>
            </a:ext>
          </a:extLst>
        </xdr:cNvPr>
        <xdr:cNvSpPr>
          <a:spLocks noChangeShapeType="1"/>
        </xdr:cNvSpPr>
      </xdr:nvSpPr>
      <xdr:spPr bwMode="auto">
        <a:xfrm>
          <a:off x="1246822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323850</xdr:colOff>
      <xdr:row>59</xdr:row>
      <xdr:rowOff>57150</xdr:rowOff>
    </xdr:from>
    <xdr:to>
      <xdr:col>12</xdr:col>
      <xdr:colOff>323850</xdr:colOff>
      <xdr:row>63</xdr:row>
      <xdr:rowOff>38100</xdr:rowOff>
    </xdr:to>
    <xdr:sp macro="" textlink="">
      <xdr:nvSpPr>
        <xdr:cNvPr id="4" name="Line 19">
          <a:extLst>
            <a:ext uri="{FF2B5EF4-FFF2-40B4-BE49-F238E27FC236}">
              <a16:creationId xmlns:a16="http://schemas.microsoft.com/office/drawing/2014/main" id="{00000000-0008-0000-0800-000004000000}"/>
            </a:ext>
          </a:extLst>
        </xdr:cNvPr>
        <xdr:cNvSpPr>
          <a:spLocks noChangeShapeType="1"/>
        </xdr:cNvSpPr>
      </xdr:nvSpPr>
      <xdr:spPr bwMode="auto">
        <a:xfrm>
          <a:off x="926782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20</xdr:col>
      <xdr:colOff>304800</xdr:colOff>
      <xdr:row>59</xdr:row>
      <xdr:rowOff>57150</xdr:rowOff>
    </xdr:from>
    <xdr:to>
      <xdr:col>20</xdr:col>
      <xdr:colOff>304800</xdr:colOff>
      <xdr:row>63</xdr:row>
      <xdr:rowOff>38100</xdr:rowOff>
    </xdr:to>
    <xdr:sp macro="" textlink="">
      <xdr:nvSpPr>
        <xdr:cNvPr id="5" name="Line 20">
          <a:extLst>
            <a:ext uri="{FF2B5EF4-FFF2-40B4-BE49-F238E27FC236}">
              <a16:creationId xmlns:a16="http://schemas.microsoft.com/office/drawing/2014/main" id="{00000000-0008-0000-0800-000005000000}"/>
            </a:ext>
          </a:extLst>
        </xdr:cNvPr>
        <xdr:cNvSpPr>
          <a:spLocks noChangeShapeType="1"/>
        </xdr:cNvSpPr>
      </xdr:nvSpPr>
      <xdr:spPr bwMode="auto">
        <a:xfrm>
          <a:off x="15963900"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514350</xdr:colOff>
      <xdr:row>59</xdr:row>
      <xdr:rowOff>57150</xdr:rowOff>
    </xdr:from>
    <xdr:to>
      <xdr:col>15</xdr:col>
      <xdr:colOff>514350</xdr:colOff>
      <xdr:row>63</xdr:row>
      <xdr:rowOff>38100</xdr:rowOff>
    </xdr:to>
    <xdr:sp macro="" textlink="">
      <xdr:nvSpPr>
        <xdr:cNvPr id="2" name="Line 2">
          <a:extLst>
            <a:ext uri="{FF2B5EF4-FFF2-40B4-BE49-F238E27FC236}">
              <a16:creationId xmlns:a16="http://schemas.microsoft.com/office/drawing/2014/main" id="{00000000-0008-0000-0900-000002000000}"/>
            </a:ext>
          </a:extLst>
        </xdr:cNvPr>
        <xdr:cNvSpPr>
          <a:spLocks noChangeShapeType="1"/>
        </xdr:cNvSpPr>
      </xdr:nvSpPr>
      <xdr:spPr bwMode="auto">
        <a:xfrm>
          <a:off x="1107757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16</xdr:col>
      <xdr:colOff>438150</xdr:colOff>
      <xdr:row>59</xdr:row>
      <xdr:rowOff>57150</xdr:rowOff>
    </xdr:from>
    <xdr:to>
      <xdr:col>16</xdr:col>
      <xdr:colOff>438150</xdr:colOff>
      <xdr:row>63</xdr:row>
      <xdr:rowOff>38100</xdr:rowOff>
    </xdr:to>
    <xdr:sp macro="" textlink="">
      <xdr:nvSpPr>
        <xdr:cNvPr id="3" name="Line 3">
          <a:extLst>
            <a:ext uri="{FF2B5EF4-FFF2-40B4-BE49-F238E27FC236}">
              <a16:creationId xmlns:a16="http://schemas.microsoft.com/office/drawing/2014/main" id="{00000000-0008-0000-0900-000003000000}"/>
            </a:ext>
          </a:extLst>
        </xdr:cNvPr>
        <xdr:cNvSpPr>
          <a:spLocks noChangeShapeType="1"/>
        </xdr:cNvSpPr>
      </xdr:nvSpPr>
      <xdr:spPr bwMode="auto">
        <a:xfrm>
          <a:off x="1197292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323850</xdr:colOff>
      <xdr:row>59</xdr:row>
      <xdr:rowOff>57150</xdr:rowOff>
    </xdr:from>
    <xdr:to>
      <xdr:col>12</xdr:col>
      <xdr:colOff>323850</xdr:colOff>
      <xdr:row>63</xdr:row>
      <xdr:rowOff>38100</xdr:rowOff>
    </xdr:to>
    <xdr:sp macro="" textlink="">
      <xdr:nvSpPr>
        <xdr:cNvPr id="4" name="Line 19">
          <a:extLst>
            <a:ext uri="{FF2B5EF4-FFF2-40B4-BE49-F238E27FC236}">
              <a16:creationId xmlns:a16="http://schemas.microsoft.com/office/drawing/2014/main" id="{00000000-0008-0000-0900-000004000000}"/>
            </a:ext>
          </a:extLst>
        </xdr:cNvPr>
        <xdr:cNvSpPr>
          <a:spLocks noChangeShapeType="1"/>
        </xdr:cNvSpPr>
      </xdr:nvSpPr>
      <xdr:spPr bwMode="auto">
        <a:xfrm>
          <a:off x="9267825"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20</xdr:col>
      <xdr:colOff>304800</xdr:colOff>
      <xdr:row>59</xdr:row>
      <xdr:rowOff>57150</xdr:rowOff>
    </xdr:from>
    <xdr:to>
      <xdr:col>20</xdr:col>
      <xdr:colOff>304800</xdr:colOff>
      <xdr:row>63</xdr:row>
      <xdr:rowOff>38100</xdr:rowOff>
    </xdr:to>
    <xdr:sp macro="" textlink="">
      <xdr:nvSpPr>
        <xdr:cNvPr id="5" name="Line 20">
          <a:extLst>
            <a:ext uri="{FF2B5EF4-FFF2-40B4-BE49-F238E27FC236}">
              <a16:creationId xmlns:a16="http://schemas.microsoft.com/office/drawing/2014/main" id="{00000000-0008-0000-0900-000005000000}"/>
            </a:ext>
          </a:extLst>
        </xdr:cNvPr>
        <xdr:cNvSpPr>
          <a:spLocks noChangeShapeType="1"/>
        </xdr:cNvSpPr>
      </xdr:nvSpPr>
      <xdr:spPr bwMode="auto">
        <a:xfrm>
          <a:off x="15468600" y="9991725"/>
          <a:ext cx="0" cy="666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oneCellAnchor>
        <xdr:from>
          <xdr:col>45</xdr:col>
          <xdr:colOff>152400</xdr:colOff>
          <xdr:row>0</xdr:row>
          <xdr:rowOff>152400</xdr:rowOff>
        </xdr:from>
        <xdr:ext cx="1257300" cy="304800"/>
        <xdr:sp macro="" textlink="">
          <xdr:nvSpPr>
            <xdr:cNvPr id="93185" name="Button 1" hidden="1">
              <a:extLst>
                <a:ext uri="{63B3BB69-23CF-44E3-9099-C40C66FF867C}">
                  <a14:compatExt spid="_x0000_s93185"/>
                </a:ext>
                <a:ext uri="{FF2B5EF4-FFF2-40B4-BE49-F238E27FC236}">
                  <a16:creationId xmlns:a16="http://schemas.microsoft.com/office/drawing/2014/main" id="{00000000-0008-0000-0900-0000016C0100}"/>
                </a:ext>
              </a:extLst>
            </xdr:cNvPr>
            <xdr:cNvSpPr/>
          </xdr:nvSpPr>
          <xdr:spPr bwMode="auto">
            <a:xfrm>
              <a:off x="0" y="0"/>
              <a:ext cx="0" cy="0"/>
            </a:xfrm>
            <a:prstGeom prst="rect">
              <a:avLst/>
            </a:prstGeom>
            <a:noFill/>
            <a:ln w="9525">
              <a:miter lim="800000"/>
              <a:headEnd/>
              <a:tailEnd/>
            </a:ln>
          </xdr:spPr>
          <xdr:txBody>
            <a:bodyPr wrap="none" lIns="27432" tIns="32004" rIns="27432" bIns="32004" anchor="ctr" upright="1">
              <a:spAutoFit/>
            </a:bodyPr>
            <a:lstStyle/>
            <a:p>
              <a:pPr algn="ctr" rtl="0">
                <a:defRPr sz="1000"/>
              </a:pPr>
              <a:r>
                <a:rPr lang="de-DE" sz="1600" b="0" i="0" u="none" strike="noStrike" baseline="0">
                  <a:solidFill>
                    <a:srgbClr val="000000"/>
                  </a:solidFill>
                  <a:latin typeface="Arial"/>
                  <a:cs typeface="Arial"/>
                </a:rPr>
                <a:t>zur Eingabe 1</a:t>
              </a:r>
            </a:p>
          </xdr:txBody>
        </xdr:sp>
        <xdr:clientData fPrintsWithSheet="0"/>
      </xdr:oneCellAnchor>
    </mc:Choice>
    <mc:Fallback/>
  </mc:AlternateContent>
  <mc:AlternateContent xmlns:mc="http://schemas.openxmlformats.org/markup-compatibility/2006">
    <mc:Choice xmlns:a14="http://schemas.microsoft.com/office/drawing/2010/main" Requires="a14">
      <xdr:oneCellAnchor>
        <xdr:from>
          <xdr:col>59</xdr:col>
          <xdr:colOff>342900</xdr:colOff>
          <xdr:row>0</xdr:row>
          <xdr:rowOff>152400</xdr:rowOff>
        </xdr:from>
        <xdr:ext cx="1228725" cy="304800"/>
        <xdr:sp macro="" textlink="">
          <xdr:nvSpPr>
            <xdr:cNvPr id="93187" name="Button 3" hidden="1">
              <a:extLst>
                <a:ext uri="{63B3BB69-23CF-44E3-9099-C40C66FF867C}">
                  <a14:compatExt spid="_x0000_s93187"/>
                </a:ext>
                <a:ext uri="{FF2B5EF4-FFF2-40B4-BE49-F238E27FC236}">
                  <a16:creationId xmlns:a16="http://schemas.microsoft.com/office/drawing/2014/main" id="{00000000-0008-0000-0900-0000036C0100}"/>
                </a:ext>
              </a:extLst>
            </xdr:cNvPr>
            <xdr:cNvSpPr/>
          </xdr:nvSpPr>
          <xdr:spPr bwMode="auto">
            <a:xfrm>
              <a:off x="0" y="0"/>
              <a:ext cx="0" cy="0"/>
            </a:xfrm>
            <a:prstGeom prst="rect">
              <a:avLst/>
            </a:prstGeom>
            <a:noFill/>
            <a:ln w="9525">
              <a:miter lim="800000"/>
              <a:headEnd/>
              <a:tailEnd/>
            </a:ln>
          </xdr:spPr>
          <xdr:txBody>
            <a:bodyPr wrap="none" lIns="27432" tIns="32004" rIns="27432" bIns="32004" anchor="ctr" upright="1">
              <a:spAutoFit/>
            </a:bodyPr>
            <a:lstStyle/>
            <a:p>
              <a:pPr algn="ctr" rtl="0">
                <a:defRPr sz="1000"/>
              </a:pPr>
              <a:r>
                <a:rPr lang="de-DE" sz="1600" b="0" i="0" u="none" strike="noStrike" baseline="0">
                  <a:solidFill>
                    <a:srgbClr val="000000"/>
                  </a:solidFill>
                  <a:latin typeface="Arial"/>
                  <a:cs typeface="Arial"/>
                </a:rPr>
                <a:t>zum Ergebnis</a:t>
              </a:r>
            </a:p>
          </xdr:txBody>
        </xdr:sp>
        <xdr:clientData fPrintsWithSheet="0"/>
      </xdr:oneCellAnchor>
    </mc:Choice>
    <mc:Fallback/>
  </mc:AlternateContent>
</xdr:wsDr>
</file>

<file path=xl/drawings/drawing8.xml><?xml version="1.0" encoding="utf-8"?>
<xdr:wsDr xmlns:xdr="http://schemas.openxmlformats.org/drawingml/2006/spreadsheetDrawing" xmlns:a="http://schemas.openxmlformats.org/drawingml/2006/main">
  <xdr:absoluteAnchor>
    <xdr:pos x="0" y="0"/>
    <xdr:ext cx="9151938" cy="5659438"/>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cdr:x>
      <cdr:y>0.83558</cdr:y>
    </cdr:from>
    <cdr:to>
      <cdr:x>0.56918</cdr:x>
      <cdr:y>0.98958</cdr:y>
    </cdr:to>
    <cdr:sp macro="" textlink="">
      <cdr:nvSpPr>
        <cdr:cNvPr id="10245" name="Text Box 5"/>
        <cdr:cNvSpPr txBox="1">
          <a:spLocks xmlns:a="http://schemas.openxmlformats.org/drawingml/2006/main" noChangeArrowheads="1"/>
        </cdr:cNvSpPr>
      </cdr:nvSpPr>
      <cdr:spPr bwMode="auto">
        <a:xfrm xmlns:a="http://schemas.openxmlformats.org/drawingml/2006/main">
          <a:off x="0" y="4728894"/>
          <a:ext cx="5209118" cy="87158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a:noFill/>
        </a:ln>
        <a:effectLst xmlns:a="http://schemas.openxmlformats.org/drawingml/2006/main"/>
        <a:extLst xmlns:a="http://schemas.openxmlformats.org/drawingml/2006/main">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22860" rIns="0" bIns="22860" anchor="ctr" upright="1">
          <a:spAutoFit/>
        </a:bodyPr>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Hinweis zum PKBW 25 Jahre:</a:t>
          </a:r>
        </a:p>
        <a:p xmlns:a="http://schemas.openxmlformats.org/drawingml/2006/main">
          <a:pPr algn="l" rtl="0">
            <a:defRPr sz="1000"/>
          </a:pPr>
          <a:r>
            <a:rPr lang="de-DE" sz="800" b="0" i="0" u="none" strike="noStrike" baseline="0">
              <a:solidFill>
                <a:srgbClr val="000000"/>
              </a:solidFill>
              <a:latin typeface="Arial"/>
              <a:cs typeface="Arial"/>
            </a:rPr>
            <a:t>Nach DWA (LAWA) ist ein Vergleich von Varianten nur über die längste vorhandene Nutzungsdauer zulässig </a:t>
          </a:r>
        </a:p>
        <a:p xmlns:a="http://schemas.openxmlformats.org/drawingml/2006/main">
          <a:pPr algn="l" rtl="0">
            <a:defRPr sz="1000"/>
          </a:pPr>
          <a:r>
            <a:rPr lang="de-DE" sz="800" b="0" i="0" u="none" strike="noStrike" baseline="0">
              <a:solidFill>
                <a:srgbClr val="000000"/>
              </a:solidFill>
              <a:latin typeface="Arial"/>
              <a:cs typeface="Arial"/>
            </a:rPr>
            <a:t>(oder das kleinste gemeinsame Vielfache der unterschiedlichen Nutzungsdauern)</a:t>
          </a:r>
        </a:p>
        <a:p xmlns:a="http://schemas.openxmlformats.org/drawingml/2006/main">
          <a:pPr algn="l" rtl="0">
            <a:defRPr sz="1000"/>
          </a:pPr>
          <a:r>
            <a:rPr lang="de-DE" sz="800" b="0" i="0" u="none" strike="noStrike" baseline="0">
              <a:solidFill>
                <a:srgbClr val="000000"/>
              </a:solidFill>
              <a:latin typeface="Arial"/>
              <a:cs typeface="Arial"/>
            </a:rPr>
            <a:t>Da Kanäle mit 50 Jahren eine längerlebige Alternative als z.B. Kleinkläranlagen darstellen, </a:t>
          </a:r>
        </a:p>
        <a:p xmlns:a="http://schemas.openxmlformats.org/drawingml/2006/main">
          <a:pPr algn="l" rtl="0">
            <a:defRPr sz="1000"/>
          </a:pPr>
          <a:r>
            <a:rPr lang="de-DE" sz="800" b="0" i="0" u="none" strike="noStrike" baseline="0">
              <a:solidFill>
                <a:srgbClr val="000000"/>
              </a:solidFill>
              <a:latin typeface="Arial"/>
              <a:cs typeface="Arial"/>
            </a:rPr>
            <a:t>ist die Betrachtung über nur 25 Jahre nicht nutzengleich und nach den DWA (LAWA)-Kriterien nicht zulässig. </a:t>
          </a:r>
        </a:p>
        <a:p xmlns:a="http://schemas.openxmlformats.org/drawingml/2006/main">
          <a:pPr algn="l" rtl="0">
            <a:defRPr sz="1000"/>
          </a:pPr>
          <a:r>
            <a:rPr lang="de-DE" sz="800" b="0" i="0" u="none" strike="noStrike" baseline="0">
              <a:solidFill>
                <a:srgbClr val="000000"/>
              </a:solidFill>
              <a:latin typeface="Arial"/>
              <a:cs typeface="Arial"/>
            </a:rPr>
            <a:t>In den Jahren 26 bis 50 wird dann eine Leistung vorgehalten, die kostenseitig nicht berücksichtigt wird.</a:t>
          </a:r>
        </a:p>
        <a:p xmlns:a="http://schemas.openxmlformats.org/drawingml/2006/main">
          <a:pPr algn="l" rtl="0">
            <a:defRPr sz="1000"/>
          </a:pPr>
          <a:r>
            <a:rPr lang="de-DE" sz="800" b="0" i="0" u="none" strike="noStrike" baseline="0">
              <a:solidFill>
                <a:srgbClr val="000000"/>
              </a:solidFill>
              <a:latin typeface="Arial"/>
              <a:cs typeface="Arial"/>
            </a:rPr>
            <a:t>Die Angabe des PKBW über 25 Jahre ist daher nur als Trend innerhalb des Verlaufs über 50 Jahre zu verstehen.  </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omments" Target="../comments4.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22"/>
    <pageSetUpPr autoPageBreaks="0" fitToPage="1"/>
  </sheetPr>
  <dimension ref="A1:B30"/>
  <sheetViews>
    <sheetView showGridLines="0" tabSelected="1" zoomScale="115" zoomScaleNormal="115" workbookViewId="0">
      <pane ySplit="2" topLeftCell="A3" activePane="bottomLeft" state="frozen"/>
      <selection activeCell="C7" sqref="C7"/>
      <selection pane="bottomLeft" activeCell="B18" sqref="B18"/>
    </sheetView>
  </sheetViews>
  <sheetFormatPr baseColWidth="10" defaultColWidth="11" defaultRowHeight="14.25" x14ac:dyDescent="0.2"/>
  <cols>
    <col min="1" max="1" width="10.625" style="36" customWidth="1"/>
    <col min="2" max="2" width="191.25" style="67" customWidth="1"/>
    <col min="3" max="16384" width="11" style="33"/>
  </cols>
  <sheetData>
    <row r="1" spans="1:2" ht="20.25" x14ac:dyDescent="0.2">
      <c r="A1" s="113" t="s">
        <v>54</v>
      </c>
    </row>
    <row r="4" spans="1:2" x14ac:dyDescent="0.2">
      <c r="A4" s="36">
        <v>1</v>
      </c>
      <c r="B4" s="67" t="s">
        <v>95</v>
      </c>
    </row>
    <row r="5" spans="1:2" x14ac:dyDescent="0.2">
      <c r="A5" s="36">
        <v>2</v>
      </c>
      <c r="B5" s="589" t="s">
        <v>276</v>
      </c>
    </row>
    <row r="6" spans="1:2" x14ac:dyDescent="0.2">
      <c r="A6" s="36">
        <v>3</v>
      </c>
      <c r="B6" s="68" t="s">
        <v>96</v>
      </c>
    </row>
    <row r="7" spans="1:2" x14ac:dyDescent="0.2">
      <c r="B7" s="68"/>
    </row>
    <row r="8" spans="1:2" x14ac:dyDescent="0.2">
      <c r="A8" s="36">
        <v>4</v>
      </c>
      <c r="B8" s="594" t="s">
        <v>279</v>
      </c>
    </row>
    <row r="9" spans="1:2" ht="18" customHeight="1" x14ac:dyDescent="0.2">
      <c r="A9" s="36">
        <v>5</v>
      </c>
      <c r="B9" s="589" t="s">
        <v>280</v>
      </c>
    </row>
    <row r="10" spans="1:2" ht="15" x14ac:dyDescent="0.2">
      <c r="B10" s="69"/>
    </row>
    <row r="11" spans="1:2" s="590" customFormat="1" x14ac:dyDescent="0.2">
      <c r="A11" s="595">
        <v>6</v>
      </c>
      <c r="B11" s="67" t="s">
        <v>148</v>
      </c>
    </row>
    <row r="12" spans="1:2" s="590" customFormat="1" x14ac:dyDescent="0.2">
      <c r="A12" s="595">
        <v>7</v>
      </c>
      <c r="B12" s="610" t="s">
        <v>288</v>
      </c>
    </row>
    <row r="13" spans="1:2" s="590" customFormat="1" x14ac:dyDescent="0.2">
      <c r="A13" s="595">
        <v>8</v>
      </c>
      <c r="B13" s="610" t="s">
        <v>287</v>
      </c>
    </row>
    <row r="14" spans="1:2" x14ac:dyDescent="0.2">
      <c r="A14" s="595"/>
    </row>
    <row r="15" spans="1:2" x14ac:dyDescent="0.2">
      <c r="A15" s="36">
        <v>9</v>
      </c>
      <c r="B15" s="67" t="s">
        <v>97</v>
      </c>
    </row>
    <row r="16" spans="1:2" x14ac:dyDescent="0.2">
      <c r="A16" s="36">
        <v>10</v>
      </c>
      <c r="B16" s="67" t="s">
        <v>98</v>
      </c>
    </row>
    <row r="17" spans="1:2" x14ac:dyDescent="0.2">
      <c r="A17" s="36">
        <v>11</v>
      </c>
      <c r="B17" s="67" t="s">
        <v>99</v>
      </c>
    </row>
    <row r="18" spans="1:2" ht="14.25" customHeight="1" x14ac:dyDescent="0.2">
      <c r="A18" s="36">
        <v>12</v>
      </c>
      <c r="B18" s="587" t="s">
        <v>289</v>
      </c>
    </row>
    <row r="19" spans="1:2" x14ac:dyDescent="0.2">
      <c r="A19" s="36">
        <v>13</v>
      </c>
      <c r="B19" s="587" t="s">
        <v>290</v>
      </c>
    </row>
    <row r="20" spans="1:2" x14ac:dyDescent="0.2">
      <c r="A20" s="36">
        <v>14</v>
      </c>
      <c r="B20" s="587" t="s">
        <v>285</v>
      </c>
    </row>
    <row r="21" spans="1:2" x14ac:dyDescent="0.2">
      <c r="A21" s="36">
        <v>15</v>
      </c>
      <c r="B21" s="587" t="s">
        <v>291</v>
      </c>
    </row>
    <row r="22" spans="1:2" x14ac:dyDescent="0.2">
      <c r="A22" s="33"/>
    </row>
    <row r="23" spans="1:2" x14ac:dyDescent="0.2">
      <c r="A23" s="36">
        <v>16</v>
      </c>
      <c r="B23" s="67" t="s">
        <v>100</v>
      </c>
    </row>
    <row r="24" spans="1:2" x14ac:dyDescent="0.2">
      <c r="A24" s="36">
        <v>17</v>
      </c>
      <c r="B24" s="587" t="s">
        <v>277</v>
      </c>
    </row>
    <row r="25" spans="1:2" x14ac:dyDescent="0.2">
      <c r="A25" s="36">
        <v>18</v>
      </c>
      <c r="B25" s="587" t="s">
        <v>286</v>
      </c>
    </row>
    <row r="26" spans="1:2" x14ac:dyDescent="0.2">
      <c r="A26" s="36">
        <v>19</v>
      </c>
      <c r="B26" s="587" t="s">
        <v>281</v>
      </c>
    </row>
    <row r="30" spans="1:2" ht="15" x14ac:dyDescent="0.2">
      <c r="B30" s="609"/>
    </row>
  </sheetData>
  <phoneticPr fontId="11" type="noConversion"/>
  <pageMargins left="0.78740157480314965" right="0.78740157480314965" top="0.98425196850393704" bottom="0.98425196850393704" header="0.51181102362204722" footer="0.51181102362204722"/>
  <pageSetup paperSize="9" scale="74" orientation="landscape" r:id="rId1"/>
  <headerFooter alignWithMargins="0">
    <oddHeader>&amp;R&amp;"Arial,Fett"&amp;8Jedele und Partner GmbH</oddHeader>
    <oddFooter>&amp;L&amp;6&amp;F   &amp;A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2">
    <tabColor indexed="42"/>
    <pageSetUpPr fitToPage="1"/>
  </sheetPr>
  <dimension ref="A1:AF132"/>
  <sheetViews>
    <sheetView showGridLines="0" zoomScaleNormal="100" workbookViewId="0">
      <pane xSplit="3" ySplit="5" topLeftCell="D6" activePane="bottomRight" state="frozen"/>
      <selection pane="topRight" activeCell="D1" sqref="D1"/>
      <selection pane="bottomLeft" activeCell="A6" sqref="A6"/>
      <selection pane="bottomRight" activeCell="C1" sqref="C1"/>
    </sheetView>
  </sheetViews>
  <sheetFormatPr baseColWidth="10" defaultColWidth="10.625" defaultRowHeight="12.75" x14ac:dyDescent="0.2"/>
  <cols>
    <col min="1" max="1" width="2.5" style="74" customWidth="1"/>
    <col min="2" max="2" width="2.5" style="125" customWidth="1"/>
    <col min="3" max="3" width="28.625" style="126" customWidth="1"/>
    <col min="4" max="4" width="6.75" style="74" customWidth="1"/>
    <col min="5" max="5" width="5.75" style="74" customWidth="1"/>
    <col min="6" max="6" width="7.75" style="74" customWidth="1"/>
    <col min="7" max="7" width="10.75" style="126" customWidth="1"/>
    <col min="8" max="8" width="8.75" style="74" customWidth="1"/>
    <col min="9" max="9" width="7.75" style="74" customWidth="1"/>
    <col min="10" max="10" width="10.75" style="126" customWidth="1"/>
    <col min="11" max="11" width="12.75" style="74" customWidth="1"/>
    <col min="12" max="12" width="12.75" style="128" customWidth="1"/>
    <col min="13" max="13" width="12.75" style="74" customWidth="1"/>
    <col min="14" max="14" width="6.875" style="74" bestFit="1" customWidth="1"/>
    <col min="15" max="15" width="2.25" style="74" customWidth="1"/>
    <col min="16" max="17" width="12.75" style="74" customWidth="1"/>
    <col min="18" max="20" width="11.625" style="74" customWidth="1"/>
    <col min="21" max="21" width="10.75" style="74" customWidth="1"/>
    <col min="22" max="22" width="9.25" style="536" customWidth="1"/>
    <col min="23" max="23" width="14.75" style="74" customWidth="1"/>
    <col min="24" max="24" width="10.625" style="74" customWidth="1"/>
    <col min="25" max="25" width="7.5" style="74" customWidth="1"/>
    <col min="26" max="26" width="14.375" style="74" customWidth="1"/>
    <col min="27" max="27" width="10.625" style="74" customWidth="1"/>
    <col min="28" max="31" width="10.625" style="74"/>
    <col min="32" max="32" width="19.625" style="74" bestFit="1" customWidth="1"/>
    <col min="33" max="16384" width="10.625" style="74"/>
  </cols>
  <sheetData>
    <row r="1" spans="1:32" s="114" customFormat="1" ht="15.75" x14ac:dyDescent="0.25">
      <c r="C1" s="115" t="s">
        <v>88</v>
      </c>
      <c r="F1" s="124" t="str">
        <f>Eingabe_1!H2</f>
        <v>Variante 5</v>
      </c>
      <c r="G1" s="505" t="str">
        <f>Eingabe_1!H3</f>
        <v>Text 5</v>
      </c>
      <c r="H1" s="503"/>
      <c r="K1" s="118"/>
      <c r="L1" s="119"/>
      <c r="M1" s="118"/>
      <c r="N1" s="118"/>
      <c r="O1" s="118"/>
      <c r="R1" s="120"/>
      <c r="V1" s="534"/>
    </row>
    <row r="2" spans="1:32" s="114" customFormat="1" ht="15.75" x14ac:dyDescent="0.25">
      <c r="C2" s="121"/>
      <c r="K2" s="121"/>
      <c r="L2" s="122"/>
      <c r="M2" s="123"/>
      <c r="N2" s="123"/>
      <c r="O2" s="121"/>
      <c r="S2" s="124"/>
      <c r="T2" s="124"/>
      <c r="U2" s="124"/>
      <c r="V2" s="535"/>
    </row>
    <row r="3" spans="1:32" x14ac:dyDescent="0.2">
      <c r="J3" s="127"/>
    </row>
    <row r="4" spans="1:32" s="141" customFormat="1" ht="17.25" customHeight="1" thickBot="1" x14ac:dyDescent="0.25">
      <c r="B4" s="129"/>
      <c r="C4" s="130" t="s">
        <v>13</v>
      </c>
      <c r="D4" s="131"/>
      <c r="E4" s="131"/>
      <c r="F4" s="131"/>
      <c r="G4" s="132"/>
      <c r="H4" s="131"/>
      <c r="I4" s="131"/>
      <c r="J4" s="133"/>
      <c r="K4" s="134" t="s">
        <v>85</v>
      </c>
      <c r="L4" s="135" t="s">
        <v>82</v>
      </c>
      <c r="M4" s="136" t="s">
        <v>83</v>
      </c>
      <c r="N4" s="495" t="s">
        <v>254</v>
      </c>
      <c r="O4" s="136"/>
      <c r="P4" s="137" t="s">
        <v>77</v>
      </c>
      <c r="Q4" s="138"/>
      <c r="R4" s="139" t="s">
        <v>14</v>
      </c>
      <c r="S4" s="134" t="s">
        <v>85</v>
      </c>
      <c r="T4" s="135" t="s">
        <v>82</v>
      </c>
      <c r="U4" s="136" t="s">
        <v>83</v>
      </c>
      <c r="V4" s="537" t="s">
        <v>260</v>
      </c>
      <c r="W4" s="140"/>
    </row>
    <row r="5" spans="1:32" s="141" customFormat="1" ht="18.75" customHeight="1" x14ac:dyDescent="0.2">
      <c r="B5" s="142"/>
      <c r="C5" s="143"/>
      <c r="D5" s="144" t="s">
        <v>15</v>
      </c>
      <c r="E5" s="143" t="s">
        <v>16</v>
      </c>
      <c r="F5" s="143"/>
      <c r="G5" s="143" t="s">
        <v>61</v>
      </c>
      <c r="H5" s="143"/>
      <c r="I5" s="143"/>
      <c r="J5" s="144" t="s">
        <v>17</v>
      </c>
      <c r="K5" s="145" t="s">
        <v>18</v>
      </c>
      <c r="L5" s="146" t="s">
        <v>18</v>
      </c>
      <c r="M5" s="147" t="s">
        <v>84</v>
      </c>
      <c r="N5" s="496" t="s">
        <v>255</v>
      </c>
      <c r="O5" s="147"/>
      <c r="P5" s="148" t="s">
        <v>19</v>
      </c>
      <c r="Q5" s="149" t="s">
        <v>20</v>
      </c>
      <c r="R5" s="150" t="s">
        <v>41</v>
      </c>
      <c r="S5" s="151" t="s">
        <v>21</v>
      </c>
      <c r="T5" s="146" t="s">
        <v>21</v>
      </c>
      <c r="U5" s="147" t="s">
        <v>84</v>
      </c>
      <c r="V5" s="538" t="s">
        <v>261</v>
      </c>
      <c r="W5" s="140"/>
      <c r="AC5" s="70" t="s">
        <v>73</v>
      </c>
      <c r="AD5" s="85"/>
      <c r="AE5" s="85"/>
      <c r="AF5" s="86"/>
    </row>
    <row r="6" spans="1:32" s="141" customFormat="1" ht="13.5" customHeight="1" x14ac:dyDescent="0.2">
      <c r="A6" s="469" t="s">
        <v>127</v>
      </c>
      <c r="B6" s="152">
        <v>1</v>
      </c>
      <c r="C6" s="185" t="s">
        <v>127</v>
      </c>
      <c r="D6" s="402"/>
      <c r="E6" s="401"/>
      <c r="F6" s="401"/>
      <c r="G6" s="401"/>
      <c r="H6" s="401"/>
      <c r="I6" s="401"/>
      <c r="J6" s="402"/>
      <c r="K6" s="403"/>
      <c r="L6" s="404"/>
      <c r="M6" s="405"/>
      <c r="N6" s="375"/>
      <c r="O6" s="405"/>
      <c r="P6" s="187">
        <v>0.7</v>
      </c>
      <c r="Q6" s="388">
        <v>0.3</v>
      </c>
      <c r="R6" s="165"/>
      <c r="S6" s="165"/>
      <c r="T6" s="404"/>
      <c r="U6" s="405"/>
      <c r="V6" s="538"/>
      <c r="W6" s="140"/>
      <c r="AC6" s="87" t="s">
        <v>86</v>
      </c>
      <c r="AD6" s="88" t="s">
        <v>87</v>
      </c>
      <c r="AE6" s="88"/>
      <c r="AF6" s="409"/>
    </row>
    <row r="7" spans="1:32" s="174" customFormat="1" ht="13.5" customHeight="1" x14ac:dyDescent="0.2">
      <c r="A7" s="469" t="s">
        <v>127</v>
      </c>
      <c r="B7" s="162"/>
      <c r="C7" s="126" t="s">
        <v>208</v>
      </c>
      <c r="D7" s="174">
        <f>Eingabe_1!H14</f>
        <v>0</v>
      </c>
      <c r="E7" s="163" t="s">
        <v>25</v>
      </c>
      <c r="F7" s="163"/>
      <c r="H7" s="276"/>
      <c r="I7" s="277"/>
      <c r="J7" s="165">
        <v>3000</v>
      </c>
      <c r="K7" s="383">
        <f>J7*D7</f>
        <v>0</v>
      </c>
      <c r="L7" s="169">
        <f>Eingabe_1!H15*Eingabe_1!H14</f>
        <v>0</v>
      </c>
      <c r="M7" s="168" t="str">
        <f>Eingabe_1!H16</f>
        <v>Richtwert</v>
      </c>
      <c r="N7" s="168"/>
      <c r="O7" s="168"/>
      <c r="P7" s="170"/>
      <c r="Q7" s="173"/>
      <c r="R7" s="165"/>
      <c r="S7" s="204"/>
      <c r="T7" s="382"/>
      <c r="U7" s="168"/>
      <c r="V7" s="539"/>
      <c r="W7" s="128"/>
      <c r="AC7" s="89">
        <f>IF(M7=K$4,K7,L7)</f>
        <v>0</v>
      </c>
      <c r="AD7" s="90">
        <f>IF(U7=$S$4,S7,T7)</f>
        <v>0</v>
      </c>
      <c r="AE7" s="90"/>
      <c r="AF7" s="92"/>
    </row>
    <row r="8" spans="1:32" s="141" customFormat="1" ht="13.5" customHeight="1" x14ac:dyDescent="0.2">
      <c r="A8" s="469" t="s">
        <v>127</v>
      </c>
      <c r="B8" s="162"/>
      <c r="C8" s="126" t="s">
        <v>212</v>
      </c>
      <c r="D8" s="74">
        <f>Eingabe_1!H18</f>
        <v>0</v>
      </c>
      <c r="E8" s="74" t="s">
        <v>25</v>
      </c>
      <c r="F8" s="401"/>
      <c r="G8" s="401"/>
      <c r="H8" s="401"/>
      <c r="I8" s="401"/>
      <c r="J8" s="165">
        <v>10000</v>
      </c>
      <c r="K8" s="383">
        <f>J8*D8</f>
        <v>0</v>
      </c>
      <c r="L8" s="169">
        <f>Eingabe_1!H19*Eingabe_1!H18</f>
        <v>0</v>
      </c>
      <c r="M8" s="168" t="str">
        <f>Eingabe_1!H20</f>
        <v>Richtwert</v>
      </c>
      <c r="N8" s="168"/>
      <c r="O8" s="405"/>
      <c r="P8" s="170">
        <f>(IF($M8=$K$4,$K8,$L8)*P$6)</f>
        <v>0</v>
      </c>
      <c r="Q8" s="173">
        <f>(IF($M8=$K$4,$K8,$L8)*Q$6)</f>
        <v>0</v>
      </c>
      <c r="R8" s="165" t="str">
        <f>IF(D8&gt;0,150,"-")</f>
        <v>-</v>
      </c>
      <c r="S8" s="165" t="str">
        <f>IF(D8=0,"",R8*D8)</f>
        <v/>
      </c>
      <c r="T8" s="169">
        <f>Eingabe_1!H21*D8</f>
        <v>0</v>
      </c>
      <c r="U8" s="168" t="str">
        <f>Eingabe_1!H22</f>
        <v>Richtwert</v>
      </c>
      <c r="V8" s="539"/>
      <c r="W8" s="140"/>
      <c r="AC8" s="89">
        <f>IF(M8=K$4,K8,L8)</f>
        <v>0</v>
      </c>
      <c r="AD8" s="90" t="str">
        <f>IF(U8=$S$4,S8,T8)</f>
        <v/>
      </c>
      <c r="AE8" s="90"/>
      <c r="AF8" s="409"/>
    </row>
    <row r="9" spans="1:32" s="141" customFormat="1" ht="13.5" customHeight="1" x14ac:dyDescent="0.2">
      <c r="A9" s="469" t="s">
        <v>127</v>
      </c>
      <c r="B9" s="162"/>
      <c r="C9" s="126" t="s">
        <v>213</v>
      </c>
      <c r="D9" s="74">
        <f>Eingabe_1!H24</f>
        <v>0</v>
      </c>
      <c r="E9" s="74" t="s">
        <v>25</v>
      </c>
      <c r="F9" s="401"/>
      <c r="G9" s="401"/>
      <c r="H9" s="401"/>
      <c r="I9" s="401"/>
      <c r="J9" s="165">
        <v>5500</v>
      </c>
      <c r="K9" s="383">
        <f>J9*D9</f>
        <v>0</v>
      </c>
      <c r="L9" s="169">
        <f>Eingabe_1!H25*Eingabe_1!H24</f>
        <v>0</v>
      </c>
      <c r="M9" s="168" t="str">
        <f>Eingabe_1!H26</f>
        <v>Richtwert</v>
      </c>
      <c r="N9" s="168"/>
      <c r="O9" s="74"/>
      <c r="P9" s="170">
        <f>(IF($M9=$K$4,$K9,$L9)*P$6)</f>
        <v>0</v>
      </c>
      <c r="Q9" s="173">
        <f>(IF($M9=$K$4,$K9,$L9)*Q$6)</f>
        <v>0</v>
      </c>
      <c r="R9" s="165" t="str">
        <f>IF(D9&gt;0,60,"-")</f>
        <v>-</v>
      </c>
      <c r="S9" s="165" t="str">
        <f>IF(D9=0,"",R9*D9)</f>
        <v/>
      </c>
      <c r="T9" s="169">
        <f>Eingabe_1!H27*D9</f>
        <v>0</v>
      </c>
      <c r="U9" s="168" t="str">
        <f>Eingabe_1!H28</f>
        <v>Richtwert</v>
      </c>
      <c r="V9" s="539"/>
      <c r="W9" s="140"/>
      <c r="AC9" s="89">
        <f>IF(M9=K$4,K9,L9)</f>
        <v>0</v>
      </c>
      <c r="AD9" s="90" t="str">
        <f>IF(U9=$S$4,S9,T9)</f>
        <v/>
      </c>
      <c r="AE9" s="90"/>
      <c r="AF9" s="409"/>
    </row>
    <row r="10" spans="1:32" s="141" customFormat="1" ht="13.5" customHeight="1" x14ac:dyDescent="0.2">
      <c r="A10" s="469" t="s">
        <v>127</v>
      </c>
      <c r="B10" s="162"/>
      <c r="C10" s="127"/>
      <c r="D10" s="74"/>
      <c r="E10" s="74"/>
      <c r="F10" s="401"/>
      <c r="G10" s="401"/>
      <c r="H10" s="401"/>
      <c r="I10" s="401"/>
      <c r="J10" s="402"/>
      <c r="K10" s="403"/>
      <c r="L10" s="404"/>
      <c r="M10" s="405"/>
      <c r="N10" s="204"/>
      <c r="O10" s="405"/>
      <c r="P10" s="406"/>
      <c r="Q10" s="407"/>
      <c r="R10" s="165"/>
      <c r="S10" s="165"/>
      <c r="T10" s="404"/>
      <c r="U10" s="405"/>
      <c r="V10" s="538"/>
      <c r="W10" s="140"/>
      <c r="AC10" s="93"/>
      <c r="AF10" s="409"/>
    </row>
    <row r="11" spans="1:32" s="141" customFormat="1" ht="13.5" customHeight="1" x14ac:dyDescent="0.2">
      <c r="A11" s="469" t="s">
        <v>127</v>
      </c>
      <c r="B11" s="162"/>
      <c r="C11" s="127" t="s">
        <v>26</v>
      </c>
      <c r="D11" s="410">
        <f>SUM(D7:D9)</f>
        <v>0</v>
      </c>
      <c r="E11" s="410" t="s">
        <v>25</v>
      </c>
      <c r="F11" s="401"/>
      <c r="G11" s="401"/>
      <c r="H11" s="401"/>
      <c r="I11" s="401"/>
      <c r="J11" s="402"/>
      <c r="K11" s="411">
        <f>SUM(K7:K10)</f>
        <v>0</v>
      </c>
      <c r="L11" s="410">
        <f>SUM(L7:L10)</f>
        <v>0</v>
      </c>
      <c r="M11" s="386">
        <f>AC11</f>
        <v>0</v>
      </c>
      <c r="N11" s="204"/>
      <c r="O11" s="405"/>
      <c r="P11" s="197">
        <f>SUM(P7:P10)</f>
        <v>0</v>
      </c>
      <c r="Q11" s="415">
        <f>SUM(Q7:Q10)</f>
        <v>0</v>
      </c>
      <c r="R11" s="165"/>
      <c r="S11" s="196">
        <f>SUM(S7:S10)</f>
        <v>0</v>
      </c>
      <c r="T11" s="196">
        <f>SUM(T7:T10)</f>
        <v>0</v>
      </c>
      <c r="U11" s="489">
        <f>AD11</f>
        <v>0</v>
      </c>
      <c r="V11" s="540"/>
      <c r="W11" s="140"/>
      <c r="AC11" s="93">
        <f>SUM(AC7:AC10)</f>
        <v>0</v>
      </c>
      <c r="AD11" s="94">
        <f>SUM(AD7:AD10)</f>
        <v>0</v>
      </c>
      <c r="AE11" s="94"/>
      <c r="AF11" s="409"/>
    </row>
    <row r="12" spans="1:32" ht="13.5" customHeight="1" x14ac:dyDescent="0.2">
      <c r="A12" s="466" t="s">
        <v>63</v>
      </c>
      <c r="B12" s="152">
        <v>2</v>
      </c>
      <c r="C12" s="185" t="s">
        <v>63</v>
      </c>
      <c r="D12" s="153"/>
      <c r="E12" s="153"/>
      <c r="F12" s="154" t="s">
        <v>23</v>
      </c>
      <c r="G12" s="155"/>
      <c r="H12" s="153"/>
      <c r="I12" s="154" t="s">
        <v>62</v>
      </c>
      <c r="J12" s="155"/>
      <c r="K12" s="156"/>
      <c r="L12" s="157"/>
      <c r="M12" s="156"/>
      <c r="N12" s="156"/>
      <c r="O12" s="156"/>
      <c r="P12" s="158"/>
      <c r="Q12" s="159"/>
      <c r="R12" s="160"/>
      <c r="S12" s="161"/>
      <c r="T12" s="157"/>
      <c r="U12" s="156"/>
      <c r="V12" s="541"/>
      <c r="W12" s="128"/>
      <c r="AB12" s="141"/>
      <c r="AC12" s="385"/>
      <c r="AF12" s="75"/>
    </row>
    <row r="13" spans="1:32" ht="13.5" customHeight="1" thickBot="1" x14ac:dyDescent="0.25">
      <c r="A13" s="466" t="s">
        <v>63</v>
      </c>
      <c r="B13" s="162"/>
      <c r="C13" s="163" t="s">
        <v>196</v>
      </c>
      <c r="D13" s="164">
        <f>Eingabe_1!H31</f>
        <v>0</v>
      </c>
      <c r="E13" s="163" t="s">
        <v>24</v>
      </c>
      <c r="F13" s="165">
        <f>Eingabe_1!H32</f>
        <v>0</v>
      </c>
      <c r="G13" s="126" t="str">
        <f>Eingabe_1!H33</f>
        <v>Freispiegel</v>
      </c>
      <c r="H13" s="126" t="str">
        <f>Eingabe_1!H34</f>
        <v>Straße</v>
      </c>
      <c r="I13" s="166" t="str">
        <f>Eingabe_1!H35</f>
        <v>2,5m</v>
      </c>
      <c r="J13" s="167">
        <f t="shared" ref="J13:J24" si="0">IF(G13="Freispiegel",VLOOKUP(AF13,C$105:D$108,2,FALSE)*F13+VLOOKUP(AF13,C$105:E$108,3,FALSE),VLOOKUP(AF13,C$109:D$111,2,FALSE)*F13^2+VLOOKUP(AF13,C$109:E$111,3,FALSE)*F13+VLOOKUP(AF13,C$109:F$111,4,FALSE))</f>
        <v>375.99</v>
      </c>
      <c r="K13" s="168">
        <f t="shared" ref="K13:K24" si="1">IF(AND(G13="Freispiegel",H13="Straße ländlich"),"Straße ländlich nur bei Druckleitung zulässig",D13*J13)</f>
        <v>0</v>
      </c>
      <c r="L13" s="169">
        <f>Eingabe_1!H36</f>
        <v>0</v>
      </c>
      <c r="M13" s="168" t="str">
        <f>Eingabe_1!H37</f>
        <v>Richtwert</v>
      </c>
      <c r="N13" s="494"/>
      <c r="O13" s="168"/>
      <c r="P13" s="170"/>
      <c r="Q13" s="171"/>
      <c r="R13" s="369">
        <f>IF(G13="Freispiegel",0.9,IF(G13="Druckleitung",0.6,""))</f>
        <v>0.9</v>
      </c>
      <c r="S13" s="165">
        <f>R13*D13</f>
        <v>0</v>
      </c>
      <c r="T13" s="169">
        <f>Eingabe_1!H38</f>
        <v>0</v>
      </c>
      <c r="U13" s="168" t="str">
        <f>Eingabe_1!H39</f>
        <v>Richtwert</v>
      </c>
      <c r="V13" s="539"/>
      <c r="AB13" s="141"/>
      <c r="AC13" s="89">
        <f t="shared" ref="AC13:AC24" si="2">IF(M13=$K$4,K13,L13)</f>
        <v>0</v>
      </c>
      <c r="AD13" s="90">
        <f t="shared" ref="AD13:AD24" si="3">IF(U13=$S$4,S13,T13)</f>
        <v>0</v>
      </c>
      <c r="AE13" s="90"/>
      <c r="AF13" s="91" t="str">
        <f t="shared" ref="AF13:AF24" si="4">IF(G13="Freispiegel",G13&amp;H13&amp;I13,G13&amp;H13)</f>
        <v>FreispiegelStraße2,5m</v>
      </c>
    </row>
    <row r="14" spans="1:32" ht="13.5" customHeight="1" thickBot="1" x14ac:dyDescent="0.25">
      <c r="A14" s="466" t="s">
        <v>63</v>
      </c>
      <c r="B14" s="162"/>
      <c r="C14" s="163" t="s">
        <v>197</v>
      </c>
      <c r="D14" s="164">
        <f>Eingabe_1!H41</f>
        <v>0</v>
      </c>
      <c r="E14" s="163" t="s">
        <v>24</v>
      </c>
      <c r="F14" s="165">
        <f>Eingabe_1!H42</f>
        <v>0</v>
      </c>
      <c r="G14" s="126" t="str">
        <f>Eingabe_1!H43</f>
        <v>Freispiegel</v>
      </c>
      <c r="H14" s="126" t="str">
        <f>Eingabe_1!H44</f>
        <v>Straße</v>
      </c>
      <c r="I14" s="166" t="str">
        <f>Eingabe_1!H45</f>
        <v>2,5m</v>
      </c>
      <c r="J14" s="167">
        <f t="shared" si="0"/>
        <v>375.99</v>
      </c>
      <c r="K14" s="168">
        <f t="shared" si="1"/>
        <v>0</v>
      </c>
      <c r="L14" s="169">
        <f>Eingabe_1!H46</f>
        <v>0</v>
      </c>
      <c r="M14" s="168" t="str">
        <f>Eingabe_1!H47</f>
        <v>Richtwert</v>
      </c>
      <c r="N14" s="168"/>
      <c r="O14" s="168"/>
      <c r="P14" s="170"/>
      <c r="Q14" s="171"/>
      <c r="R14" s="369">
        <f t="shared" ref="R14:R24" si="5">IF(G14="Freispiegel",0.9,IF(G14="Druckleitung",0.6,""))</f>
        <v>0.9</v>
      </c>
      <c r="S14" s="165">
        <f>R14*D14</f>
        <v>0</v>
      </c>
      <c r="T14" s="169">
        <f>Eingabe_1!H48</f>
        <v>0</v>
      </c>
      <c r="U14" s="168" t="str">
        <f>Eingabe_1!H49</f>
        <v>Richtwert</v>
      </c>
      <c r="V14" s="539"/>
      <c r="AB14" s="141"/>
      <c r="AC14" s="89">
        <f t="shared" si="2"/>
        <v>0</v>
      </c>
      <c r="AD14" s="90">
        <f t="shared" si="3"/>
        <v>0</v>
      </c>
      <c r="AE14" s="90"/>
      <c r="AF14" s="91" t="str">
        <f t="shared" si="4"/>
        <v>FreispiegelStraße2,5m</v>
      </c>
    </row>
    <row r="15" spans="1:32" ht="13.5" customHeight="1" thickBot="1" x14ac:dyDescent="0.25">
      <c r="A15" s="466" t="s">
        <v>63</v>
      </c>
      <c r="B15" s="162"/>
      <c r="C15" s="163" t="s">
        <v>198</v>
      </c>
      <c r="D15" s="164">
        <f>Eingabe_1!H51</f>
        <v>0</v>
      </c>
      <c r="E15" s="163" t="s">
        <v>24</v>
      </c>
      <c r="F15" s="165">
        <f>Eingabe_1!H52</f>
        <v>0</v>
      </c>
      <c r="G15" s="126" t="str">
        <f>Eingabe_1!H53</f>
        <v>Freispiegel</v>
      </c>
      <c r="H15" s="126" t="str">
        <f>Eingabe_1!H54</f>
        <v>Straße</v>
      </c>
      <c r="I15" s="166" t="str">
        <f>Eingabe_1!H55</f>
        <v>2,5m</v>
      </c>
      <c r="J15" s="167">
        <f t="shared" si="0"/>
        <v>375.99</v>
      </c>
      <c r="K15" s="168">
        <f t="shared" si="1"/>
        <v>0</v>
      </c>
      <c r="L15" s="169">
        <f>Eingabe_1!H56</f>
        <v>0</v>
      </c>
      <c r="M15" s="168" t="str">
        <f>Eingabe_1!H57</f>
        <v>Richtwert</v>
      </c>
      <c r="N15" s="168"/>
      <c r="O15" s="168"/>
      <c r="P15" s="170"/>
      <c r="Q15" s="171"/>
      <c r="R15" s="369">
        <f t="shared" si="5"/>
        <v>0.9</v>
      </c>
      <c r="S15" s="165">
        <f>R15*D15</f>
        <v>0</v>
      </c>
      <c r="T15" s="169">
        <f>Eingabe_1!H58</f>
        <v>0</v>
      </c>
      <c r="U15" s="168" t="str">
        <f>Eingabe_1!H59</f>
        <v>Richtwert</v>
      </c>
      <c r="V15" s="539"/>
      <c r="AB15" s="141"/>
      <c r="AC15" s="89">
        <f t="shared" si="2"/>
        <v>0</v>
      </c>
      <c r="AD15" s="90">
        <f t="shared" si="3"/>
        <v>0</v>
      </c>
      <c r="AE15" s="90"/>
      <c r="AF15" s="91" t="str">
        <f t="shared" si="4"/>
        <v>FreispiegelStraße2,5m</v>
      </c>
    </row>
    <row r="16" spans="1:32" ht="13.5" customHeight="1" thickBot="1" x14ac:dyDescent="0.25">
      <c r="A16" s="466" t="s">
        <v>63</v>
      </c>
      <c r="B16" s="162"/>
      <c r="C16" s="163" t="s">
        <v>216</v>
      </c>
      <c r="D16" s="74">
        <f>Eingabe_1!H61</f>
        <v>0</v>
      </c>
      <c r="E16" s="126" t="s">
        <v>24</v>
      </c>
      <c r="F16" s="383">
        <f>Eingabe_1!H62</f>
        <v>0</v>
      </c>
      <c r="G16" s="126" t="str">
        <f>Eingabe_1!H63</f>
        <v>Freispiegel</v>
      </c>
      <c r="H16" s="126" t="str">
        <f>Eingabe_1!H64</f>
        <v>Straße</v>
      </c>
      <c r="I16" s="166" t="str">
        <f>Eingabe_1!H65</f>
        <v>2,5m</v>
      </c>
      <c r="J16" s="167">
        <f t="shared" si="0"/>
        <v>375.99</v>
      </c>
      <c r="K16" s="168">
        <f t="shared" si="1"/>
        <v>0</v>
      </c>
      <c r="L16" s="169">
        <f>Eingabe_1!H66</f>
        <v>0</v>
      </c>
      <c r="M16" s="168" t="str">
        <f>Eingabe_1!H67</f>
        <v>Richtwert</v>
      </c>
      <c r="N16" s="168"/>
      <c r="O16" s="168"/>
      <c r="P16" s="170"/>
      <c r="Q16" s="171"/>
      <c r="R16" s="369">
        <f t="shared" si="5"/>
        <v>0.9</v>
      </c>
      <c r="S16" s="165">
        <f t="shared" ref="S16:S22" si="6">R16*D16</f>
        <v>0</v>
      </c>
      <c r="T16" s="169">
        <f>Eingabe_1!H68</f>
        <v>0</v>
      </c>
      <c r="U16" s="168" t="str">
        <f>Eingabe_1!H69</f>
        <v>Richtwert</v>
      </c>
      <c r="V16" s="539"/>
      <c r="AB16" s="141"/>
      <c r="AC16" s="89">
        <f t="shared" si="2"/>
        <v>0</v>
      </c>
      <c r="AD16" s="90">
        <f t="shared" si="3"/>
        <v>0</v>
      </c>
      <c r="AE16" s="90"/>
      <c r="AF16" s="91" t="str">
        <f t="shared" si="4"/>
        <v>FreispiegelStraße2,5m</v>
      </c>
    </row>
    <row r="17" spans="1:32" ht="13.5" customHeight="1" thickBot="1" x14ac:dyDescent="0.25">
      <c r="A17" s="466" t="s">
        <v>63</v>
      </c>
      <c r="B17" s="162"/>
      <c r="C17" s="163" t="s">
        <v>217</v>
      </c>
      <c r="D17" s="74">
        <f>Eingabe_1!H71</f>
        <v>0</v>
      </c>
      <c r="E17" s="126" t="s">
        <v>24</v>
      </c>
      <c r="F17" s="383">
        <f>Eingabe_1!H72</f>
        <v>0</v>
      </c>
      <c r="G17" s="126" t="str">
        <f>Eingabe_1!H73</f>
        <v>Freispiegel</v>
      </c>
      <c r="H17" s="126" t="str">
        <f>Eingabe_1!H74</f>
        <v>Straße</v>
      </c>
      <c r="I17" s="166" t="str">
        <f>Eingabe_1!H75</f>
        <v>2,5m</v>
      </c>
      <c r="J17" s="167">
        <f t="shared" si="0"/>
        <v>375.99</v>
      </c>
      <c r="K17" s="168">
        <f t="shared" si="1"/>
        <v>0</v>
      </c>
      <c r="L17" s="169">
        <f>Eingabe_1!H76</f>
        <v>0</v>
      </c>
      <c r="M17" s="168" t="str">
        <f>Eingabe_1!H77</f>
        <v>Richtwert</v>
      </c>
      <c r="N17" s="168"/>
      <c r="O17" s="168"/>
      <c r="P17" s="170"/>
      <c r="Q17" s="171"/>
      <c r="R17" s="369">
        <f t="shared" si="5"/>
        <v>0.9</v>
      </c>
      <c r="S17" s="165">
        <f t="shared" si="6"/>
        <v>0</v>
      </c>
      <c r="T17" s="169">
        <f>Eingabe_1!H78</f>
        <v>0</v>
      </c>
      <c r="U17" s="168" t="str">
        <f>Eingabe_1!H79</f>
        <v>Richtwert</v>
      </c>
      <c r="V17" s="539"/>
      <c r="AB17" s="141"/>
      <c r="AC17" s="89">
        <f t="shared" si="2"/>
        <v>0</v>
      </c>
      <c r="AD17" s="90">
        <f t="shared" si="3"/>
        <v>0</v>
      </c>
      <c r="AE17" s="90"/>
      <c r="AF17" s="91" t="str">
        <f t="shared" si="4"/>
        <v>FreispiegelStraße2,5m</v>
      </c>
    </row>
    <row r="18" spans="1:32" ht="13.5" customHeight="1" thickBot="1" x14ac:dyDescent="0.25">
      <c r="A18" s="466" t="s">
        <v>63</v>
      </c>
      <c r="B18" s="162"/>
      <c r="C18" s="163" t="s">
        <v>218</v>
      </c>
      <c r="D18" s="74">
        <f>Eingabe_1!H81</f>
        <v>0</v>
      </c>
      <c r="E18" s="126" t="s">
        <v>24</v>
      </c>
      <c r="F18" s="383">
        <f>Eingabe_1!H82</f>
        <v>0</v>
      </c>
      <c r="G18" s="126" t="str">
        <f>Eingabe_1!H83</f>
        <v>Freispiegel</v>
      </c>
      <c r="H18" s="126" t="str">
        <f>Eingabe_1!H84</f>
        <v>Straße</v>
      </c>
      <c r="I18" s="166" t="str">
        <f>Eingabe_1!H85</f>
        <v>2,5m</v>
      </c>
      <c r="J18" s="167">
        <f t="shared" si="0"/>
        <v>375.99</v>
      </c>
      <c r="K18" s="168">
        <f t="shared" si="1"/>
        <v>0</v>
      </c>
      <c r="L18" s="169">
        <f>Eingabe_1!H86</f>
        <v>0</v>
      </c>
      <c r="M18" s="168" t="str">
        <f>Eingabe_1!H87</f>
        <v>Richtwert</v>
      </c>
      <c r="N18" s="168"/>
      <c r="O18" s="168"/>
      <c r="P18" s="170"/>
      <c r="Q18" s="171"/>
      <c r="R18" s="369">
        <f t="shared" si="5"/>
        <v>0.9</v>
      </c>
      <c r="S18" s="165">
        <f t="shared" si="6"/>
        <v>0</v>
      </c>
      <c r="T18" s="169">
        <f>Eingabe_1!H88</f>
        <v>0</v>
      </c>
      <c r="U18" s="168" t="str">
        <f>Eingabe_1!H89</f>
        <v>Richtwert</v>
      </c>
      <c r="V18" s="539"/>
      <c r="AB18" s="141"/>
      <c r="AC18" s="89">
        <f t="shared" si="2"/>
        <v>0</v>
      </c>
      <c r="AD18" s="90">
        <f t="shared" si="3"/>
        <v>0</v>
      </c>
      <c r="AE18" s="90"/>
      <c r="AF18" s="91" t="str">
        <f t="shared" si="4"/>
        <v>FreispiegelStraße2,5m</v>
      </c>
    </row>
    <row r="19" spans="1:32" ht="13.5" customHeight="1" thickBot="1" x14ac:dyDescent="0.25">
      <c r="A19" s="466" t="s">
        <v>63</v>
      </c>
      <c r="B19" s="162"/>
      <c r="C19" s="163" t="s">
        <v>220</v>
      </c>
      <c r="D19" s="74">
        <f>Eingabe_1!H91</f>
        <v>0</v>
      </c>
      <c r="E19" s="126" t="s">
        <v>24</v>
      </c>
      <c r="F19" s="383">
        <f>Eingabe_1!H92</f>
        <v>0</v>
      </c>
      <c r="G19" s="126" t="str">
        <f>Eingabe_1!H93</f>
        <v>Freispiegel</v>
      </c>
      <c r="H19" s="126" t="str">
        <f>Eingabe_1!H94</f>
        <v>Straße</v>
      </c>
      <c r="I19" s="166" t="str">
        <f>Eingabe_1!H95</f>
        <v>2,5m</v>
      </c>
      <c r="J19" s="167">
        <f t="shared" si="0"/>
        <v>375.99</v>
      </c>
      <c r="K19" s="168">
        <f t="shared" si="1"/>
        <v>0</v>
      </c>
      <c r="L19" s="169">
        <f>Eingabe_1!H96</f>
        <v>0</v>
      </c>
      <c r="M19" s="168" t="str">
        <f>Eingabe_1!H97</f>
        <v>Richtwert</v>
      </c>
      <c r="N19" s="168"/>
      <c r="O19" s="168"/>
      <c r="P19" s="170"/>
      <c r="Q19" s="171"/>
      <c r="R19" s="369">
        <f t="shared" si="5"/>
        <v>0.9</v>
      </c>
      <c r="S19" s="165">
        <f t="shared" si="6"/>
        <v>0</v>
      </c>
      <c r="T19" s="169">
        <f>Eingabe_1!H98</f>
        <v>0</v>
      </c>
      <c r="U19" s="168" t="str">
        <f>Eingabe_1!H99</f>
        <v>Richtwert</v>
      </c>
      <c r="V19" s="539"/>
      <c r="AB19" s="141"/>
      <c r="AC19" s="89">
        <f t="shared" si="2"/>
        <v>0</v>
      </c>
      <c r="AD19" s="90">
        <f t="shared" si="3"/>
        <v>0</v>
      </c>
      <c r="AE19" s="90"/>
      <c r="AF19" s="91" t="str">
        <f t="shared" si="4"/>
        <v>FreispiegelStraße2,5m</v>
      </c>
    </row>
    <row r="20" spans="1:32" ht="13.5" customHeight="1" thickBot="1" x14ac:dyDescent="0.25">
      <c r="A20" s="466" t="s">
        <v>63</v>
      </c>
      <c r="B20" s="162"/>
      <c r="C20" s="163" t="s">
        <v>221</v>
      </c>
      <c r="D20" s="74">
        <f>Eingabe_1!H101</f>
        <v>0</v>
      </c>
      <c r="E20" s="126" t="s">
        <v>24</v>
      </c>
      <c r="F20" s="383">
        <f>Eingabe_1!H102</f>
        <v>0</v>
      </c>
      <c r="G20" s="126" t="str">
        <f>Eingabe_1!H103</f>
        <v>Freispiegel</v>
      </c>
      <c r="H20" s="126" t="str">
        <f>Eingabe_1!H104</f>
        <v>Straße</v>
      </c>
      <c r="I20" s="166" t="str">
        <f>Eingabe_1!H105</f>
        <v>2,5m</v>
      </c>
      <c r="J20" s="167">
        <f t="shared" si="0"/>
        <v>375.99</v>
      </c>
      <c r="K20" s="168">
        <f t="shared" si="1"/>
        <v>0</v>
      </c>
      <c r="L20" s="169">
        <f>Eingabe_1!H106</f>
        <v>0</v>
      </c>
      <c r="M20" s="168" t="str">
        <f>Eingabe_1!H107</f>
        <v>Richtwert</v>
      </c>
      <c r="N20" s="168"/>
      <c r="O20" s="168"/>
      <c r="P20" s="170"/>
      <c r="Q20" s="171"/>
      <c r="R20" s="369">
        <f t="shared" si="5"/>
        <v>0.9</v>
      </c>
      <c r="S20" s="165">
        <f t="shared" si="6"/>
        <v>0</v>
      </c>
      <c r="T20" s="169">
        <f>Eingabe_1!H108</f>
        <v>0</v>
      </c>
      <c r="U20" s="168" t="str">
        <f>Eingabe_1!H109</f>
        <v>Richtwert</v>
      </c>
      <c r="V20" s="539"/>
      <c r="AB20" s="141"/>
      <c r="AC20" s="89">
        <f t="shared" si="2"/>
        <v>0</v>
      </c>
      <c r="AD20" s="90">
        <f t="shared" si="3"/>
        <v>0</v>
      </c>
      <c r="AE20" s="90"/>
      <c r="AF20" s="91" t="str">
        <f t="shared" si="4"/>
        <v>FreispiegelStraße2,5m</v>
      </c>
    </row>
    <row r="21" spans="1:32" ht="13.5" customHeight="1" thickBot="1" x14ac:dyDescent="0.25">
      <c r="A21" s="466" t="s">
        <v>63</v>
      </c>
      <c r="B21" s="162"/>
      <c r="C21" s="163" t="s">
        <v>222</v>
      </c>
      <c r="D21" s="74">
        <f>Eingabe_1!H111</f>
        <v>0</v>
      </c>
      <c r="E21" s="126" t="s">
        <v>24</v>
      </c>
      <c r="F21" s="383">
        <f>Eingabe_1!H112</f>
        <v>0</v>
      </c>
      <c r="G21" s="126" t="str">
        <f>Eingabe_1!H113</f>
        <v>Freispiegel</v>
      </c>
      <c r="H21" s="126" t="str">
        <f>Eingabe_1!H114</f>
        <v>Straße</v>
      </c>
      <c r="I21" s="166" t="str">
        <f>Eingabe_1!H115</f>
        <v>2,5m</v>
      </c>
      <c r="J21" s="167">
        <f t="shared" si="0"/>
        <v>375.99</v>
      </c>
      <c r="K21" s="168">
        <f t="shared" si="1"/>
        <v>0</v>
      </c>
      <c r="L21" s="169">
        <f>Eingabe_1!H116</f>
        <v>0</v>
      </c>
      <c r="M21" s="168" t="str">
        <f>Eingabe_1!H117</f>
        <v>Richtwert</v>
      </c>
      <c r="N21" s="168"/>
      <c r="O21" s="168"/>
      <c r="P21" s="170"/>
      <c r="Q21" s="171"/>
      <c r="R21" s="369">
        <f t="shared" si="5"/>
        <v>0.9</v>
      </c>
      <c r="S21" s="165">
        <f t="shared" si="6"/>
        <v>0</v>
      </c>
      <c r="T21" s="169">
        <f>Eingabe_1!H118</f>
        <v>0</v>
      </c>
      <c r="U21" s="168" t="str">
        <f>Eingabe_1!H119</f>
        <v>Richtwert</v>
      </c>
      <c r="V21" s="539"/>
      <c r="AB21" s="141"/>
      <c r="AC21" s="89">
        <f t="shared" si="2"/>
        <v>0</v>
      </c>
      <c r="AD21" s="90">
        <f t="shared" si="3"/>
        <v>0</v>
      </c>
      <c r="AE21" s="90"/>
      <c r="AF21" s="91" t="str">
        <f t="shared" si="4"/>
        <v>FreispiegelStraße2,5m</v>
      </c>
    </row>
    <row r="22" spans="1:32" ht="13.5" customHeight="1" thickBot="1" x14ac:dyDescent="0.25">
      <c r="A22" s="466" t="s">
        <v>63</v>
      </c>
      <c r="B22" s="162"/>
      <c r="C22" s="394" t="s">
        <v>199</v>
      </c>
      <c r="D22" s="412">
        <f>Eingabe_1!H122</f>
        <v>0</v>
      </c>
      <c r="E22" s="394" t="s">
        <v>24</v>
      </c>
      <c r="F22" s="397">
        <f>Eingabe_1!H123</f>
        <v>0</v>
      </c>
      <c r="G22" s="398" t="str">
        <f>Eingabe_1!H124</f>
        <v>Druckleitung</v>
      </c>
      <c r="H22" s="398" t="str">
        <f>Eingabe_1!H125</f>
        <v>Gelände</v>
      </c>
      <c r="I22" s="399" t="str">
        <f>Eingabe_1!H126</f>
        <v>2,5m</v>
      </c>
      <c r="J22" s="413">
        <f t="shared" si="0"/>
        <v>175.5</v>
      </c>
      <c r="K22" s="168">
        <f t="shared" si="1"/>
        <v>0</v>
      </c>
      <c r="L22" s="169">
        <f>Eingabe_1!H127</f>
        <v>0</v>
      </c>
      <c r="M22" s="168" t="str">
        <f>Eingabe_1!H128</f>
        <v>Richtwert</v>
      </c>
      <c r="N22" s="168"/>
      <c r="O22" s="168"/>
      <c r="P22" s="170"/>
      <c r="Q22" s="173"/>
      <c r="R22" s="369">
        <f t="shared" si="5"/>
        <v>0.6</v>
      </c>
      <c r="S22" s="165">
        <f t="shared" si="6"/>
        <v>0</v>
      </c>
      <c r="T22" s="169">
        <f>Eingabe_1!H129</f>
        <v>0</v>
      </c>
      <c r="U22" s="168" t="str">
        <f>Eingabe_1!H130</f>
        <v>Richtwert</v>
      </c>
      <c r="V22" s="539"/>
      <c r="AB22" s="141"/>
      <c r="AC22" s="89">
        <f t="shared" si="2"/>
        <v>0</v>
      </c>
      <c r="AD22" s="90">
        <f t="shared" si="3"/>
        <v>0</v>
      </c>
      <c r="AE22" s="90"/>
      <c r="AF22" s="91" t="str">
        <f t="shared" si="4"/>
        <v>DruckleitungGelände</v>
      </c>
    </row>
    <row r="23" spans="1:32" ht="13.5" customHeight="1" thickBot="1" x14ac:dyDescent="0.25">
      <c r="A23" s="466" t="s">
        <v>63</v>
      </c>
      <c r="B23" s="162"/>
      <c r="C23" s="394" t="s">
        <v>200</v>
      </c>
      <c r="D23" s="396">
        <f>Eingabe_1!H133</f>
        <v>0</v>
      </c>
      <c r="E23" s="394" t="s">
        <v>24</v>
      </c>
      <c r="F23" s="397">
        <f>Eingabe_1!H134</f>
        <v>0</v>
      </c>
      <c r="G23" s="398" t="str">
        <f>Eingabe_1!H135</f>
        <v>Druckleitung</v>
      </c>
      <c r="H23" s="398" t="str">
        <f>Eingabe_1!H136</f>
        <v>Straße ländlich</v>
      </c>
      <c r="I23" s="399" t="str">
        <f>Eingabe_1!H137</f>
        <v>2,5m</v>
      </c>
      <c r="J23" s="413">
        <f t="shared" si="0"/>
        <v>282.5</v>
      </c>
      <c r="K23" s="168">
        <f t="shared" si="1"/>
        <v>0</v>
      </c>
      <c r="L23" s="340">
        <f>Eingabe_1!H138</f>
        <v>0</v>
      </c>
      <c r="M23" s="168" t="str">
        <f>Eingabe_1!H139</f>
        <v>Richtwert</v>
      </c>
      <c r="N23" s="168"/>
      <c r="O23" s="168"/>
      <c r="P23" s="170"/>
      <c r="Q23" s="173"/>
      <c r="R23" s="369">
        <f t="shared" si="5"/>
        <v>0.6</v>
      </c>
      <c r="S23" s="165">
        <f>R23*D23</f>
        <v>0</v>
      </c>
      <c r="T23" s="169">
        <f>Eingabe_1!H140</f>
        <v>0</v>
      </c>
      <c r="U23" s="168" t="str">
        <f>Eingabe_1!H141</f>
        <v>Richtwert</v>
      </c>
      <c r="V23" s="539"/>
      <c r="AB23" s="141"/>
      <c r="AC23" s="89">
        <f t="shared" si="2"/>
        <v>0</v>
      </c>
      <c r="AD23" s="90">
        <f t="shared" si="3"/>
        <v>0</v>
      </c>
      <c r="AE23" s="90"/>
      <c r="AF23" s="91" t="str">
        <f t="shared" si="4"/>
        <v>DruckleitungStraße ländlich</v>
      </c>
    </row>
    <row r="24" spans="1:32" ht="13.5" customHeight="1" thickBot="1" x14ac:dyDescent="0.25">
      <c r="A24" s="466" t="s">
        <v>63</v>
      </c>
      <c r="B24" s="162"/>
      <c r="C24" s="394" t="s">
        <v>201</v>
      </c>
      <c r="D24" s="396">
        <f>Eingabe_1!H144</f>
        <v>0</v>
      </c>
      <c r="E24" s="394" t="s">
        <v>24</v>
      </c>
      <c r="F24" s="397">
        <f>Eingabe_1!H145</f>
        <v>0</v>
      </c>
      <c r="G24" s="398" t="str">
        <f>Eingabe_1!H146</f>
        <v>Druckleitung</v>
      </c>
      <c r="H24" s="398" t="str">
        <f>Eingabe_1!H147</f>
        <v>Straße</v>
      </c>
      <c r="I24" s="399" t="str">
        <f>Eingabe_1!H148</f>
        <v>2,5m</v>
      </c>
      <c r="J24" s="413">
        <f t="shared" si="0"/>
        <v>381.5</v>
      </c>
      <c r="K24" s="168">
        <f t="shared" si="1"/>
        <v>0</v>
      </c>
      <c r="L24" s="340">
        <f>Eingabe_1!H149</f>
        <v>0</v>
      </c>
      <c r="M24" s="168" t="str">
        <f>Eingabe_1!H150</f>
        <v>Richtwert</v>
      </c>
      <c r="N24" s="168"/>
      <c r="O24" s="168"/>
      <c r="P24" s="170"/>
      <c r="Q24" s="173"/>
      <c r="R24" s="369">
        <f t="shared" si="5"/>
        <v>0.6</v>
      </c>
      <c r="S24" s="165">
        <f>R24*D24</f>
        <v>0</v>
      </c>
      <c r="T24" s="169">
        <f>Eingabe_1!H151</f>
        <v>0</v>
      </c>
      <c r="U24" s="168" t="str">
        <f>Eingabe_1!H152</f>
        <v>Richtwert</v>
      </c>
      <c r="V24" s="539"/>
      <c r="AB24" s="141"/>
      <c r="AC24" s="89">
        <f t="shared" si="2"/>
        <v>0</v>
      </c>
      <c r="AD24" s="90">
        <f t="shared" si="3"/>
        <v>0</v>
      </c>
      <c r="AE24" s="90"/>
      <c r="AF24" s="91" t="str">
        <f t="shared" si="4"/>
        <v>DruckleitungStraße</v>
      </c>
    </row>
    <row r="25" spans="1:32" ht="13.5" customHeight="1" x14ac:dyDescent="0.2">
      <c r="A25" s="466" t="s">
        <v>63</v>
      </c>
      <c r="B25" s="176"/>
      <c r="C25" s="177" t="s">
        <v>26</v>
      </c>
      <c r="D25" s="178">
        <f>SUM(D13:D24)</f>
        <v>0</v>
      </c>
      <c r="E25" s="178" t="s">
        <v>24</v>
      </c>
      <c r="F25" s="178"/>
      <c r="H25" s="178"/>
      <c r="I25" s="178"/>
      <c r="J25" s="151"/>
      <c r="K25" s="179">
        <f>SUM(K13:K24)</f>
        <v>0</v>
      </c>
      <c r="L25" s="180">
        <f>SUM(L13:L24)</f>
        <v>0</v>
      </c>
      <c r="M25" s="196">
        <f>AC25</f>
        <v>0</v>
      </c>
      <c r="N25" s="204"/>
      <c r="O25" s="182"/>
      <c r="P25" s="150"/>
      <c r="Q25" s="183"/>
      <c r="R25" s="165"/>
      <c r="S25" s="184">
        <f>SUM(S13:S24)</f>
        <v>0</v>
      </c>
      <c r="T25" s="180">
        <f>SUM(T13:T24)</f>
        <v>0</v>
      </c>
      <c r="U25" s="196">
        <f>AD25</f>
        <v>0</v>
      </c>
      <c r="V25" s="540"/>
      <c r="W25" s="128"/>
      <c r="AB25" s="141"/>
      <c r="AC25" s="93">
        <f>SUM(AC13:AC24)</f>
        <v>0</v>
      </c>
      <c r="AD25" s="94">
        <f>SUM(AD13:AD24)</f>
        <v>0</v>
      </c>
      <c r="AE25" s="94"/>
      <c r="AF25" s="75"/>
    </row>
    <row r="26" spans="1:32" s="192" customFormat="1" ht="13.5" customHeight="1" x14ac:dyDescent="0.2">
      <c r="A26" s="467" t="s">
        <v>245</v>
      </c>
      <c r="B26" s="152">
        <v>3</v>
      </c>
      <c r="C26" s="185" t="s">
        <v>214</v>
      </c>
      <c r="D26" s="156"/>
      <c r="E26" s="153"/>
      <c r="F26" s="153"/>
      <c r="G26" s="155"/>
      <c r="H26" s="153"/>
      <c r="I26" s="153"/>
      <c r="J26" s="165"/>
      <c r="K26" s="165"/>
      <c r="L26" s="186"/>
      <c r="M26" s="165"/>
      <c r="N26" s="201"/>
      <c r="O26" s="165"/>
      <c r="P26" s="187">
        <v>0.6</v>
      </c>
      <c r="Q26" s="188">
        <v>0.4</v>
      </c>
      <c r="R26" s="189" t="s">
        <v>189</v>
      </c>
      <c r="S26" s="190" t="s">
        <v>27</v>
      </c>
      <c r="T26" s="186"/>
      <c r="U26" s="165"/>
      <c r="V26" s="542"/>
      <c r="W26" s="191"/>
      <c r="AB26" s="141"/>
      <c r="AC26" s="95"/>
      <c r="AD26" s="90"/>
      <c r="AE26" s="90"/>
      <c r="AF26" s="96"/>
    </row>
    <row r="27" spans="1:32" s="192" customFormat="1" ht="13.5" customHeight="1" x14ac:dyDescent="0.2">
      <c r="A27" s="467" t="s">
        <v>245</v>
      </c>
      <c r="B27" s="162"/>
      <c r="C27" s="126" t="s">
        <v>153</v>
      </c>
      <c r="D27" s="74">
        <f>Eingabe_2!H7</f>
        <v>0</v>
      </c>
      <c r="E27" s="74" t="s">
        <v>22</v>
      </c>
      <c r="F27" s="74">
        <f>Eingabe_2!H8</f>
        <v>0</v>
      </c>
      <c r="G27" s="126" t="s">
        <v>29</v>
      </c>
      <c r="H27" s="74"/>
      <c r="I27" s="74"/>
      <c r="J27" s="165"/>
      <c r="K27" s="165">
        <f>90967*D27^0.6109</f>
        <v>0</v>
      </c>
      <c r="L27" s="169">
        <f>Eingabe_2!H9</f>
        <v>0</v>
      </c>
      <c r="M27" s="168" t="str">
        <f>Eingabe_2!H10</f>
        <v>Richtwert</v>
      </c>
      <c r="N27" s="525">
        <f>Eingabe_2!H11</f>
        <v>1</v>
      </c>
      <c r="O27" s="168"/>
      <c r="P27" s="170">
        <f t="shared" ref="P27:Q34" si="7">(IF($M27=$K$4,$K27,$L27)*P$26)</f>
        <v>0</v>
      </c>
      <c r="Q27" s="165">
        <f t="shared" si="7"/>
        <v>0</v>
      </c>
      <c r="R27" s="170" t="str">
        <f>IF(D27&gt;0,1800,"-")</f>
        <v>-</v>
      </c>
      <c r="S27" s="165">
        <f>IF(AND(D27&gt;0,F27&gt;0),(F27+100)*1.75,0)</f>
        <v>0</v>
      </c>
      <c r="T27" s="169">
        <f>Eingabe_2!H12</f>
        <v>0</v>
      </c>
      <c r="U27" s="168" t="str">
        <f>Eingabe_2!H13</f>
        <v>Richtwert</v>
      </c>
      <c r="V27" s="539"/>
      <c r="W27" s="191"/>
      <c r="AB27" s="141"/>
      <c r="AC27" s="89">
        <f>IF(M27=K$4,K27*N27,L27*N27)</f>
        <v>0</v>
      </c>
      <c r="AD27" s="90">
        <f>IF(U27=T$4,T27,IF(OR(R27="-",S27="-"),0,R27+S27))</f>
        <v>0</v>
      </c>
      <c r="AE27" s="90"/>
      <c r="AF27" s="96"/>
    </row>
    <row r="28" spans="1:32" s="192" customFormat="1" ht="13.5" customHeight="1" x14ac:dyDescent="0.2">
      <c r="A28" s="467" t="s">
        <v>245</v>
      </c>
      <c r="B28" s="162"/>
      <c r="C28" s="126" t="s">
        <v>154</v>
      </c>
      <c r="D28" s="74">
        <f>Eingabe_2!H16</f>
        <v>0</v>
      </c>
      <c r="E28" s="74" t="s">
        <v>22</v>
      </c>
      <c r="F28" s="74">
        <f>Eingabe_2!H17</f>
        <v>0</v>
      </c>
      <c r="G28" s="126" t="s">
        <v>29</v>
      </c>
      <c r="H28" s="74"/>
      <c r="I28" s="74"/>
      <c r="J28" s="165"/>
      <c r="K28" s="165">
        <f t="shared" ref="K28:K31" si="8">90967*D28^0.6109</f>
        <v>0</v>
      </c>
      <c r="L28" s="169">
        <f>Eingabe_2!H18</f>
        <v>0</v>
      </c>
      <c r="M28" s="168" t="str">
        <f>Eingabe_2!H19</f>
        <v>Richtwert</v>
      </c>
      <c r="N28" s="525">
        <f>Eingabe_2!H20</f>
        <v>1</v>
      </c>
      <c r="O28" s="168"/>
      <c r="P28" s="170">
        <f t="shared" si="7"/>
        <v>0</v>
      </c>
      <c r="Q28" s="165">
        <f t="shared" si="7"/>
        <v>0</v>
      </c>
      <c r="R28" s="170" t="str">
        <f t="shared" ref="R28:R31" si="9">IF(D28&gt;0,1800,"-")</f>
        <v>-</v>
      </c>
      <c r="S28" s="165">
        <f t="shared" ref="S28:S29" si="10">IF(AND(D28&gt;0,F28&gt;0),(F28+100)*1.75,0)</f>
        <v>0</v>
      </c>
      <c r="T28" s="169">
        <f>Eingabe_2!H21</f>
        <v>0</v>
      </c>
      <c r="U28" s="168" t="str">
        <f>Eingabe_2!H22</f>
        <v>Richtwert</v>
      </c>
      <c r="V28" s="539"/>
      <c r="W28" s="191"/>
      <c r="AC28" s="89">
        <f t="shared" ref="AC28:AC33" si="11">IF(M28=K$4,K28*N28,L28*N28)</f>
        <v>0</v>
      </c>
      <c r="AD28" s="90">
        <f>IF(U28=T$4,T28,IF(OR(R28="-",S28="-"),0,R28+S28))</f>
        <v>0</v>
      </c>
      <c r="AE28" s="90"/>
      <c r="AF28" s="96"/>
    </row>
    <row r="29" spans="1:32" s="192" customFormat="1" ht="13.5" customHeight="1" x14ac:dyDescent="0.2">
      <c r="A29" s="467" t="s">
        <v>245</v>
      </c>
      <c r="B29" s="162"/>
      <c r="C29" s="126" t="s">
        <v>155</v>
      </c>
      <c r="D29" s="74">
        <f>Eingabe_2!H25</f>
        <v>0</v>
      </c>
      <c r="E29" s="74" t="s">
        <v>22</v>
      </c>
      <c r="F29" s="74">
        <f>Eingabe_2!H26</f>
        <v>0</v>
      </c>
      <c r="G29" s="126" t="s">
        <v>29</v>
      </c>
      <c r="H29" s="74"/>
      <c r="I29" s="74"/>
      <c r="J29" s="165"/>
      <c r="K29" s="165">
        <f t="shared" si="8"/>
        <v>0</v>
      </c>
      <c r="L29" s="169">
        <f>Eingabe_2!H27</f>
        <v>0</v>
      </c>
      <c r="M29" s="168" t="str">
        <f>Eingabe_2!H28</f>
        <v>Richtwert</v>
      </c>
      <c r="N29" s="525">
        <f>Eingabe_2!H29</f>
        <v>1</v>
      </c>
      <c r="O29" s="168"/>
      <c r="P29" s="170">
        <f t="shared" si="7"/>
        <v>0</v>
      </c>
      <c r="Q29" s="165">
        <f t="shared" si="7"/>
        <v>0</v>
      </c>
      <c r="R29" s="170" t="str">
        <f t="shared" si="9"/>
        <v>-</v>
      </c>
      <c r="S29" s="165">
        <f t="shared" si="10"/>
        <v>0</v>
      </c>
      <c r="T29" s="169">
        <f>Eingabe_2!H30</f>
        <v>0</v>
      </c>
      <c r="U29" s="168" t="str">
        <f>Eingabe_2!H31</f>
        <v>Richtwert</v>
      </c>
      <c r="V29" s="539"/>
      <c r="W29" s="191"/>
      <c r="AC29" s="89">
        <f t="shared" si="11"/>
        <v>0</v>
      </c>
      <c r="AD29" s="90">
        <f>IF(U29=T$4,T29,IF(OR(R29="-",S29="-"),0,R29+S29))</f>
        <v>0</v>
      </c>
      <c r="AE29" s="90"/>
      <c r="AF29" s="96"/>
    </row>
    <row r="30" spans="1:32" s="192" customFormat="1" ht="13.5" customHeight="1" x14ac:dyDescent="0.2">
      <c r="A30" s="467" t="s">
        <v>245</v>
      </c>
      <c r="B30" s="162"/>
      <c r="C30" s="126" t="s">
        <v>243</v>
      </c>
      <c r="D30" s="74">
        <f>Eingabe_2!H34</f>
        <v>0</v>
      </c>
      <c r="E30" s="74" t="s">
        <v>22</v>
      </c>
      <c r="F30" s="74">
        <f>Eingabe_2!H35</f>
        <v>0</v>
      </c>
      <c r="G30" s="126" t="s">
        <v>29</v>
      </c>
      <c r="H30" s="74"/>
      <c r="I30" s="74"/>
      <c r="J30" s="165"/>
      <c r="K30" s="165">
        <f t="shared" si="8"/>
        <v>0</v>
      </c>
      <c r="L30" s="463">
        <f>Eingabe_2!H36</f>
        <v>0</v>
      </c>
      <c r="M30" s="168" t="str">
        <f>Eingabe_2!H37</f>
        <v>Richtwert</v>
      </c>
      <c r="N30" s="525">
        <f>Eingabe_2!H38</f>
        <v>1</v>
      </c>
      <c r="O30" s="168"/>
      <c r="P30" s="170">
        <f t="shared" si="7"/>
        <v>0</v>
      </c>
      <c r="Q30" s="165">
        <f t="shared" si="7"/>
        <v>0</v>
      </c>
      <c r="R30" s="170" t="str">
        <f t="shared" si="9"/>
        <v>-</v>
      </c>
      <c r="S30" s="165">
        <f t="shared" ref="S30:S31" si="12">IF(AND(D30&gt;0,F30&gt;0),F30*2.7,0)</f>
        <v>0</v>
      </c>
      <c r="T30" s="463">
        <f>Eingabe_2!H39</f>
        <v>0</v>
      </c>
      <c r="U30" s="168" t="str">
        <f>Eingabe_2!H40</f>
        <v>Richtwert</v>
      </c>
      <c r="V30" s="539"/>
      <c r="W30" s="191"/>
      <c r="AC30" s="89">
        <f t="shared" si="11"/>
        <v>0</v>
      </c>
      <c r="AD30" s="90">
        <f t="shared" ref="AD30:AD31" si="13">IF(U30=T$4,T30,IF(OR(R30="-",S30="-"),0,R30+S30))</f>
        <v>0</v>
      </c>
      <c r="AE30" s="90"/>
      <c r="AF30" s="96"/>
    </row>
    <row r="31" spans="1:32" s="192" customFormat="1" ht="13.5" customHeight="1" x14ac:dyDescent="0.2">
      <c r="A31" s="467" t="s">
        <v>245</v>
      </c>
      <c r="B31" s="162"/>
      <c r="C31" s="126" t="s">
        <v>244</v>
      </c>
      <c r="D31" s="74">
        <f>Eingabe_2!H43</f>
        <v>0</v>
      </c>
      <c r="E31" s="74" t="s">
        <v>22</v>
      </c>
      <c r="F31" s="74">
        <f>Eingabe_2!H44</f>
        <v>0</v>
      </c>
      <c r="G31" s="126" t="s">
        <v>29</v>
      </c>
      <c r="H31" s="74"/>
      <c r="I31" s="74"/>
      <c r="J31" s="165"/>
      <c r="K31" s="165">
        <f t="shared" si="8"/>
        <v>0</v>
      </c>
      <c r="L31" s="463">
        <f>Eingabe_2!H45</f>
        <v>0</v>
      </c>
      <c r="M31" s="168" t="str">
        <f>Eingabe_2!H46</f>
        <v>Richtwert</v>
      </c>
      <c r="N31" s="525">
        <f>Eingabe_2!H47</f>
        <v>1</v>
      </c>
      <c r="O31" s="168"/>
      <c r="P31" s="170">
        <f t="shared" si="7"/>
        <v>0</v>
      </c>
      <c r="Q31" s="165">
        <f t="shared" si="7"/>
        <v>0</v>
      </c>
      <c r="R31" s="170" t="str">
        <f t="shared" si="9"/>
        <v>-</v>
      </c>
      <c r="S31" s="165">
        <f t="shared" si="12"/>
        <v>0</v>
      </c>
      <c r="T31" s="463">
        <f>Eingabe_2!H48</f>
        <v>0</v>
      </c>
      <c r="U31" s="168" t="str">
        <f>Eingabe_2!H49</f>
        <v>Richtwert</v>
      </c>
      <c r="V31" s="539"/>
      <c r="W31" s="191"/>
      <c r="AC31" s="89">
        <f t="shared" si="11"/>
        <v>0</v>
      </c>
      <c r="AD31" s="90">
        <f t="shared" si="13"/>
        <v>0</v>
      </c>
      <c r="AE31" s="90"/>
      <c r="AF31" s="96"/>
    </row>
    <row r="32" spans="1:32" s="192" customFormat="1" ht="13.5" customHeight="1" x14ac:dyDescent="0.2">
      <c r="A32" s="467" t="s">
        <v>245</v>
      </c>
      <c r="B32" s="162"/>
      <c r="C32" s="126" t="s">
        <v>215</v>
      </c>
      <c r="D32" s="74"/>
      <c r="E32" s="74"/>
      <c r="F32" s="74">
        <f>Eingabe_2!H52</f>
        <v>0</v>
      </c>
      <c r="G32" s="126" t="s">
        <v>29</v>
      </c>
      <c r="H32" s="74"/>
      <c r="I32" s="74"/>
      <c r="J32" s="389"/>
      <c r="K32" s="165">
        <f>IF(F32=0,0,(0.0000006*F32^4)-(0.0013*F32^3)+(0.9796*F32^2)-(16.098*F32)+138587)*0.3*1.5</f>
        <v>0</v>
      </c>
      <c r="L32" s="169">
        <f>Eingabe_2!H53</f>
        <v>0</v>
      </c>
      <c r="M32" s="168" t="str">
        <f>Eingabe_2!H54</f>
        <v>Richtwert</v>
      </c>
      <c r="N32" s="525">
        <f>Eingabe_2!H55</f>
        <v>1</v>
      </c>
      <c r="O32" s="168"/>
      <c r="P32" s="170">
        <f t="shared" si="7"/>
        <v>0</v>
      </c>
      <c r="Q32" s="165">
        <f t="shared" si="7"/>
        <v>0</v>
      </c>
      <c r="R32" s="170" t="str">
        <f>IF(F32&gt;0,1200,"-")</f>
        <v>-</v>
      </c>
      <c r="S32" s="165" t="str">
        <f>IF(F32&gt;0,F32*8.75,"-")</f>
        <v>-</v>
      </c>
      <c r="T32" s="169">
        <f>Eingabe_2!H56</f>
        <v>0</v>
      </c>
      <c r="U32" s="168" t="str">
        <f>Eingabe_2!H57</f>
        <v>Richtwert</v>
      </c>
      <c r="V32" s="539"/>
      <c r="W32" s="191"/>
      <c r="AC32" s="89">
        <f t="shared" si="11"/>
        <v>0</v>
      </c>
      <c r="AD32" s="90">
        <f>IF(U32=T$4,T32,IF(OR(R32="-",S32="-"),0,R32+S32))</f>
        <v>0</v>
      </c>
      <c r="AE32" s="90"/>
      <c r="AF32" s="96"/>
    </row>
    <row r="33" spans="1:32" s="192" customFormat="1" ht="13.5" customHeight="1" x14ac:dyDescent="0.2">
      <c r="A33" s="467" t="s">
        <v>245</v>
      </c>
      <c r="B33" s="162"/>
      <c r="C33" s="126" t="s">
        <v>219</v>
      </c>
      <c r="D33" s="74">
        <f>Eingabe_2!H60</f>
        <v>0</v>
      </c>
      <c r="E33" s="74" t="s">
        <v>22</v>
      </c>
      <c r="F33" s="74">
        <f>Eingabe_2!H52</f>
        <v>0</v>
      </c>
      <c r="G33" s="126" t="s">
        <v>29</v>
      </c>
      <c r="H33" s="74"/>
      <c r="I33" s="74"/>
      <c r="J33" s="389"/>
      <c r="K33" s="165">
        <f>90967*D33^0.6109</f>
        <v>0</v>
      </c>
      <c r="L33" s="169">
        <f>Eingabe_2!H61</f>
        <v>0</v>
      </c>
      <c r="M33" s="168" t="str">
        <f>Eingabe_2!H62</f>
        <v>Richtwert</v>
      </c>
      <c r="N33" s="525">
        <f>Eingabe_2!H63</f>
        <v>1</v>
      </c>
      <c r="O33" s="168"/>
      <c r="P33" s="170">
        <f t="shared" si="7"/>
        <v>0</v>
      </c>
      <c r="Q33" s="165">
        <f t="shared" si="7"/>
        <v>0</v>
      </c>
      <c r="R33" s="170" t="str">
        <f>IF(D33&gt;0,1800,"-")</f>
        <v>-</v>
      </c>
      <c r="S33" s="165">
        <f>IF(AND(D33&gt;0,F33&gt;0),(F33+100)*1.75,0)</f>
        <v>0</v>
      </c>
      <c r="T33" s="169">
        <f>Eingabe_2!H64</f>
        <v>0</v>
      </c>
      <c r="U33" s="168" t="str">
        <f>Eingabe_2!H65</f>
        <v>Richtwert</v>
      </c>
      <c r="V33" s="539"/>
      <c r="W33" s="191"/>
      <c r="AC33" s="89">
        <f t="shared" si="11"/>
        <v>0</v>
      </c>
      <c r="AD33" s="90">
        <f>IF(U33=T$4,T33,IF(OR(R33="-",S33="-"),0,R33+S33))</f>
        <v>0</v>
      </c>
      <c r="AE33" s="90"/>
      <c r="AF33" s="96"/>
    </row>
    <row r="34" spans="1:32" s="192" customFormat="1" ht="13.5" customHeight="1" x14ac:dyDescent="0.2">
      <c r="A34" s="467" t="s">
        <v>245</v>
      </c>
      <c r="B34" s="162"/>
      <c r="C34" s="126"/>
      <c r="D34" s="74"/>
      <c r="E34" s="74"/>
      <c r="F34" s="74"/>
      <c r="G34" s="126"/>
      <c r="H34" s="74"/>
      <c r="I34" s="74"/>
      <c r="J34" s="165"/>
      <c r="K34" s="165"/>
      <c r="L34" s="193"/>
      <c r="M34" s="168">
        <f>AB34</f>
        <v>0</v>
      </c>
      <c r="N34" s="168"/>
      <c r="O34" s="168"/>
      <c r="P34" s="194">
        <f t="shared" si="7"/>
        <v>0</v>
      </c>
      <c r="Q34" s="165">
        <f t="shared" si="7"/>
        <v>0</v>
      </c>
      <c r="R34" s="170"/>
      <c r="S34" s="165"/>
      <c r="T34" s="193"/>
      <c r="U34" s="204">
        <f>AD34</f>
        <v>0</v>
      </c>
      <c r="V34" s="540"/>
      <c r="AC34" s="89"/>
      <c r="AD34" s="90"/>
      <c r="AE34" s="90"/>
      <c r="AF34" s="96"/>
    </row>
    <row r="35" spans="1:32" s="192" customFormat="1" ht="13.5" customHeight="1" x14ac:dyDescent="0.2">
      <c r="A35" s="467" t="s">
        <v>245</v>
      </c>
      <c r="B35" s="176"/>
      <c r="C35" s="177" t="s">
        <v>26</v>
      </c>
      <c r="D35" s="178"/>
      <c r="E35" s="178"/>
      <c r="F35" s="178"/>
      <c r="G35" s="195"/>
      <c r="H35" s="178"/>
      <c r="I35" s="178"/>
      <c r="J35" s="151"/>
      <c r="K35" s="196">
        <f>SUM(K27:K34)</f>
        <v>0</v>
      </c>
      <c r="L35" s="196">
        <f>SUM(L27:L34)</f>
        <v>0</v>
      </c>
      <c r="M35" s="196">
        <f>AC35</f>
        <v>0</v>
      </c>
      <c r="N35" s="196"/>
      <c r="O35" s="196"/>
      <c r="P35" s="197">
        <f>SUM(P27:P34)</f>
        <v>0</v>
      </c>
      <c r="Q35" s="198">
        <f>SUM(Q27:Q34)</f>
        <v>0</v>
      </c>
      <c r="R35" s="199">
        <f>SUM(R27:R34)</f>
        <v>0</v>
      </c>
      <c r="S35" s="196">
        <f>SUM(S27:S34)</f>
        <v>0</v>
      </c>
      <c r="T35" s="196">
        <f>SUM(T27:T34)</f>
        <v>0</v>
      </c>
      <c r="U35" s="196">
        <f>AD35</f>
        <v>0</v>
      </c>
      <c r="V35" s="540"/>
      <c r="AC35" s="490">
        <f>SUM(AC27:AC33)</f>
        <v>0</v>
      </c>
      <c r="AD35" s="94">
        <f>SUM(AD27:AD33)</f>
        <v>0</v>
      </c>
      <c r="AE35" s="94"/>
      <c r="AF35" s="96"/>
    </row>
    <row r="36" spans="1:32" s="192" customFormat="1" ht="13.5" customHeight="1" x14ac:dyDescent="0.2">
      <c r="A36" s="467" t="s">
        <v>158</v>
      </c>
      <c r="B36" s="162">
        <v>4</v>
      </c>
      <c r="C36" s="127" t="s">
        <v>167</v>
      </c>
      <c r="D36" s="74"/>
      <c r="E36" s="74"/>
      <c r="F36" s="74"/>
      <c r="G36" s="126"/>
      <c r="H36" s="74"/>
      <c r="I36" s="74"/>
      <c r="J36" s="165"/>
      <c r="K36" s="204"/>
      <c r="L36" s="204"/>
      <c r="M36" s="204"/>
      <c r="N36" s="204"/>
      <c r="O36" s="204"/>
      <c r="P36" s="187">
        <v>0.8</v>
      </c>
      <c r="Q36" s="188">
        <v>0.2</v>
      </c>
      <c r="R36" s="189" t="s">
        <v>189</v>
      </c>
      <c r="S36" s="330"/>
      <c r="T36" s="204"/>
      <c r="U36" s="204"/>
      <c r="V36" s="540"/>
      <c r="AC36" s="93"/>
      <c r="AD36" s="94"/>
      <c r="AE36" s="94"/>
      <c r="AF36" s="96"/>
    </row>
    <row r="37" spans="1:32" s="192" customFormat="1" ht="13.5" customHeight="1" x14ac:dyDescent="0.2">
      <c r="A37" s="467" t="s">
        <v>158</v>
      </c>
      <c r="B37" s="162"/>
      <c r="C37" s="126" t="s">
        <v>172</v>
      </c>
      <c r="D37" s="74">
        <f>Eingabe_2!H69</f>
        <v>0</v>
      </c>
      <c r="E37" s="74" t="s">
        <v>169</v>
      </c>
      <c r="F37" s="74" t="str">
        <f>Eingabe_2!H68</f>
        <v>RÜB</v>
      </c>
      <c r="G37" s="126" t="str">
        <f>Eingabe_2!H70</f>
        <v>innerorts, geschlossen</v>
      </c>
      <c r="I37" s="74" t="str">
        <f>Eingabe_2!H71</f>
        <v>normal</v>
      </c>
      <c r="J37" s="165">
        <f>IF(D37=0,0,VLOOKUP(AF37,C113:F130,2,FALSE)*(D37^(VLOOKUP(AF37,C113:F130,3,FALSE)))*VLOOKUP(AF37,C113:F130,4,FALSE))</f>
        <v>0</v>
      </c>
      <c r="K37" s="165">
        <f>D37*J37</f>
        <v>0</v>
      </c>
      <c r="L37" s="169">
        <f>Eingabe_2!H72</f>
        <v>0</v>
      </c>
      <c r="M37" s="168" t="str">
        <f>Eingabe_2!H73</f>
        <v>Richtwert</v>
      </c>
      <c r="N37" s="525">
        <f>Eingabe_2!H74</f>
        <v>1</v>
      </c>
      <c r="O37" s="204"/>
      <c r="P37" s="170">
        <f t="shared" ref="P37:Q39" si="14">(IF($M37=$K$4,$K37,$L37)*P$36)</f>
        <v>0</v>
      </c>
      <c r="Q37" s="165">
        <f t="shared" si="14"/>
        <v>0</v>
      </c>
      <c r="R37" s="170" t="str">
        <f>IF(D37&gt;0,1800,"-")</f>
        <v>-</v>
      </c>
      <c r="S37" s="204"/>
      <c r="T37" s="169">
        <f>Eingabe_2!H75</f>
        <v>0</v>
      </c>
      <c r="U37" s="168" t="str">
        <f>Eingabe_2!H76</f>
        <v>Richtwert</v>
      </c>
      <c r="V37" s="539"/>
      <c r="AC37" s="89">
        <f>IF(M37=K$4,K37*N37,L37*N37)</f>
        <v>0</v>
      </c>
      <c r="AD37" s="90">
        <f>IF(U37=T$4,T37,IF(OR(R37="-",S37="-"),0,R37+S37))</f>
        <v>0</v>
      </c>
      <c r="AE37" s="90"/>
      <c r="AF37" s="91" t="str">
        <f>F37&amp;G37&amp;I37</f>
        <v>RÜBinnerorts, geschlossennormal</v>
      </c>
    </row>
    <row r="38" spans="1:32" s="192" customFormat="1" ht="13.5" customHeight="1" x14ac:dyDescent="0.2">
      <c r="A38" s="467" t="s">
        <v>158</v>
      </c>
      <c r="B38" s="162"/>
      <c r="C38" s="126" t="s">
        <v>173</v>
      </c>
      <c r="D38" s="74">
        <f>Eingabe_2!H80</f>
        <v>0</v>
      </c>
      <c r="E38" s="74" t="s">
        <v>169</v>
      </c>
      <c r="F38" s="74" t="str">
        <f>Eingabe_2!H79</f>
        <v>RÜB</v>
      </c>
      <c r="G38" s="126" t="str">
        <f>Eingabe_2!H81</f>
        <v>außerorts, offen</v>
      </c>
      <c r="H38" s="74"/>
      <c r="I38" s="74" t="str">
        <f>Eingabe_2!H82</f>
        <v>normal</v>
      </c>
      <c r="J38" s="165">
        <f>IF(D38=0,0,VLOOKUP(AF38,C113:F130,2,FALSE)*(D38^(VLOOKUP(AF38,C113:F130,3,FALSE)))*VLOOKUP(AF38,C113:F130,4,FALSE))</f>
        <v>0</v>
      </c>
      <c r="K38" s="165">
        <f>D38*J38</f>
        <v>0</v>
      </c>
      <c r="L38" s="169">
        <f>Eingabe_2!H83</f>
        <v>0</v>
      </c>
      <c r="M38" s="168" t="str">
        <f>Eingabe_2!H84</f>
        <v>Richtwert</v>
      </c>
      <c r="N38" s="525">
        <f>Eingabe_2!H85</f>
        <v>1</v>
      </c>
      <c r="O38" s="204"/>
      <c r="P38" s="170">
        <f t="shared" si="14"/>
        <v>0</v>
      </c>
      <c r="Q38" s="165">
        <f t="shared" si="14"/>
        <v>0</v>
      </c>
      <c r="R38" s="170" t="str">
        <f t="shared" ref="R38:R39" si="15">IF(D38&gt;0,1800,"-")</f>
        <v>-</v>
      </c>
      <c r="S38" s="204"/>
      <c r="T38" s="169">
        <f>Eingabe_2!H86</f>
        <v>0</v>
      </c>
      <c r="U38" s="168" t="str">
        <f>Eingabe_2!H87</f>
        <v>Richtwert</v>
      </c>
      <c r="V38" s="539"/>
      <c r="AC38" s="89">
        <f t="shared" ref="AC38:AC39" si="16">IF(M38=K$4,K38*N38,L38*N38)</f>
        <v>0</v>
      </c>
      <c r="AD38" s="90">
        <f>IF(U38=T$4,T38,IF(OR(R38="-",S38="-"),0,R38+S38))</f>
        <v>0</v>
      </c>
      <c r="AE38" s="90"/>
      <c r="AF38" s="91" t="str">
        <f>F38&amp;G38&amp;I38</f>
        <v>RÜBaußerorts, offennormal</v>
      </c>
    </row>
    <row r="39" spans="1:32" s="192" customFormat="1" ht="13.5" customHeight="1" x14ac:dyDescent="0.2">
      <c r="A39" s="467" t="s">
        <v>158</v>
      </c>
      <c r="B39" s="162"/>
      <c r="C39" s="126" t="s">
        <v>174</v>
      </c>
      <c r="D39" s="74">
        <f>Eingabe_2!H91</f>
        <v>0</v>
      </c>
      <c r="E39" s="74" t="s">
        <v>169</v>
      </c>
      <c r="F39" s="74" t="str">
        <f>Eingabe_2!H90</f>
        <v>RÜB</v>
      </c>
      <c r="G39" s="126" t="str">
        <f>Eingabe_2!H92</f>
        <v>außerorts, offen</v>
      </c>
      <c r="H39" s="74"/>
      <c r="I39" s="74" t="str">
        <f>Eingabe_2!H93</f>
        <v>normal</v>
      </c>
      <c r="J39" s="165">
        <f>IF(D39=0,0,VLOOKUP(AF39,C113:F130,2,FALSE)*(D39^(VLOOKUP(AF39,C113:F130,3,FALSE)))*VLOOKUP(AF39,C113:F130,4,FALSE))</f>
        <v>0</v>
      </c>
      <c r="K39" s="165">
        <f>D39*J39</f>
        <v>0</v>
      </c>
      <c r="L39" s="169">
        <f>Eingabe_2!H94</f>
        <v>0</v>
      </c>
      <c r="M39" s="168" t="str">
        <f>Eingabe_2!H95</f>
        <v>Richtwert</v>
      </c>
      <c r="N39" s="525">
        <f>Eingabe_2!H96</f>
        <v>1</v>
      </c>
      <c r="O39" s="204"/>
      <c r="P39" s="170">
        <f t="shared" si="14"/>
        <v>0</v>
      </c>
      <c r="Q39" s="165">
        <f t="shared" si="14"/>
        <v>0</v>
      </c>
      <c r="R39" s="170" t="str">
        <f t="shared" si="15"/>
        <v>-</v>
      </c>
      <c r="S39" s="204"/>
      <c r="T39" s="169">
        <f>Eingabe_2!H97</f>
        <v>0</v>
      </c>
      <c r="U39" s="168" t="str">
        <f>Eingabe_2!H98</f>
        <v>Richtwert</v>
      </c>
      <c r="V39" s="539"/>
      <c r="AC39" s="89">
        <f t="shared" si="16"/>
        <v>0</v>
      </c>
      <c r="AD39" s="90">
        <f>IF(U39=T$4,T39,IF(OR(R39="-",S39="-"),0,R39+S39))</f>
        <v>0</v>
      </c>
      <c r="AE39" s="90"/>
      <c r="AF39" s="91" t="str">
        <f>F39&amp;G39&amp;I39</f>
        <v>RÜBaußerorts, offennormal</v>
      </c>
    </row>
    <row r="40" spans="1:32" s="192" customFormat="1" ht="13.5" customHeight="1" x14ac:dyDescent="0.2">
      <c r="A40" s="467" t="s">
        <v>158</v>
      </c>
      <c r="B40" s="162"/>
      <c r="C40" s="127"/>
      <c r="D40" s="74"/>
      <c r="E40" s="74"/>
      <c r="F40" s="74"/>
      <c r="G40" s="126"/>
      <c r="H40" s="74"/>
      <c r="I40" s="74"/>
      <c r="J40" s="165"/>
      <c r="K40" s="204"/>
      <c r="L40" s="204"/>
      <c r="M40" s="204"/>
      <c r="N40" s="204"/>
      <c r="O40" s="204"/>
      <c r="P40" s="170"/>
      <c r="Q40" s="165"/>
      <c r="R40" s="324"/>
      <c r="S40" s="204"/>
      <c r="T40" s="204"/>
      <c r="U40" s="204"/>
      <c r="V40" s="540"/>
      <c r="AC40" s="89"/>
      <c r="AD40" s="90"/>
      <c r="AE40" s="90"/>
      <c r="AF40" s="91"/>
    </row>
    <row r="41" spans="1:32" s="192" customFormat="1" ht="13.5" customHeight="1" x14ac:dyDescent="0.2">
      <c r="A41" s="467" t="s">
        <v>158</v>
      </c>
      <c r="B41" s="176"/>
      <c r="C41" s="177" t="s">
        <v>26</v>
      </c>
      <c r="D41" s="178"/>
      <c r="E41" s="178"/>
      <c r="F41" s="178"/>
      <c r="G41" s="195"/>
      <c r="H41" s="178"/>
      <c r="I41" s="178"/>
      <c r="J41" s="151"/>
      <c r="K41" s="196">
        <f>SUM(K37:K40)</f>
        <v>0</v>
      </c>
      <c r="L41" s="196">
        <f>SUM(L37:L40)</f>
        <v>0</v>
      </c>
      <c r="M41" s="196">
        <f>AC41</f>
        <v>0</v>
      </c>
      <c r="N41" s="204"/>
      <c r="O41" s="196"/>
      <c r="P41" s="197">
        <f>SUM(P37:P40)</f>
        <v>0</v>
      </c>
      <c r="Q41" s="198">
        <f>SUM(Q37:Q40)</f>
        <v>0</v>
      </c>
      <c r="R41" s="199">
        <f>SUM(R37:R40)</f>
        <v>0</v>
      </c>
      <c r="S41" s="196">
        <f>SUM(S37:S40)</f>
        <v>0</v>
      </c>
      <c r="T41" s="196">
        <f>SUM(T37:T40)</f>
        <v>0</v>
      </c>
      <c r="U41" s="485">
        <f>AD41</f>
        <v>0</v>
      </c>
      <c r="V41" s="540"/>
      <c r="AC41" s="490">
        <f>SUM(AC37:AC40)</f>
        <v>0</v>
      </c>
      <c r="AD41" s="94">
        <f>SUM(AD37:AD39)</f>
        <v>0</v>
      </c>
      <c r="AE41" s="94"/>
      <c r="AF41" s="91"/>
    </row>
    <row r="42" spans="1:32" s="192" customFormat="1" ht="13.5" customHeight="1" thickBot="1" x14ac:dyDescent="0.25">
      <c r="A42" s="467" t="s">
        <v>158</v>
      </c>
      <c r="B42" s="162">
        <v>5</v>
      </c>
      <c r="C42" s="127" t="s">
        <v>28</v>
      </c>
      <c r="D42" s="74"/>
      <c r="E42" s="74"/>
      <c r="F42" s="74"/>
      <c r="G42" s="126"/>
      <c r="H42" s="200" t="str">
        <f>IF(G43=C102,"Ausbaugröße externe KA","")</f>
        <v/>
      </c>
      <c r="I42" s="74"/>
      <c r="J42" s="165"/>
      <c r="K42" s="165"/>
      <c r="L42" s="186"/>
      <c r="M42" s="165"/>
      <c r="N42" s="201"/>
      <c r="O42" s="165"/>
      <c r="P42" s="370">
        <v>0.7</v>
      </c>
      <c r="Q42" s="188">
        <v>0.3</v>
      </c>
      <c r="R42" s="170"/>
      <c r="S42" s="165"/>
      <c r="T42" s="186"/>
      <c r="U42" s="165"/>
      <c r="V42" s="542"/>
      <c r="AC42" s="95"/>
      <c r="AD42" s="90"/>
      <c r="AE42" s="90"/>
      <c r="AF42" s="96"/>
    </row>
    <row r="43" spans="1:32" s="192" customFormat="1" ht="13.5" customHeight="1" thickBot="1" x14ac:dyDescent="0.25">
      <c r="A43" s="467" t="s">
        <v>158</v>
      </c>
      <c r="B43" s="162"/>
      <c r="C43" s="126" t="s">
        <v>191</v>
      </c>
      <c r="D43" s="172">
        <f>Eingabe_2!H101</f>
        <v>0</v>
      </c>
      <c r="E43" s="74" t="s">
        <v>29</v>
      </c>
      <c r="F43" s="202"/>
      <c r="G43" s="276" t="str">
        <f>Eingabe_2!H102</f>
        <v>eigene KA</v>
      </c>
      <c r="H43" s="165">
        <f>Eingabe_2!H103</f>
        <v>0</v>
      </c>
      <c r="I43" s="74" t="str">
        <f>IF(G43=C102,"EW","")</f>
        <v/>
      </c>
      <c r="J43" s="596">
        <f t="shared" ref="J43:J44" si="17">IF(G43=C$102,11183*H43^-0.261*1.45,IF(D43&gt;0,11183*D43^-0.261*1.45,0))</f>
        <v>0</v>
      </c>
      <c r="K43" s="165">
        <f>J43*D43</f>
        <v>0</v>
      </c>
      <c r="L43" s="169">
        <f>Eingabe_2!H104</f>
        <v>0</v>
      </c>
      <c r="M43" s="168" t="str">
        <f>Eingabe_2!H105</f>
        <v>Richtwert</v>
      </c>
      <c r="N43" s="525">
        <f>Eingabe_2!H106</f>
        <v>1</v>
      </c>
      <c r="O43" s="168"/>
      <c r="P43" s="170">
        <f t="shared" ref="P43:Q48" si="18">(IF($M43=$K$4,$K43,$L43)*P$42)</f>
        <v>0</v>
      </c>
      <c r="Q43" s="165">
        <f t="shared" si="18"/>
        <v>0</v>
      </c>
      <c r="R43" s="608">
        <f>IF(G43=C$102,IF(H43&gt;10000,1.4*39.703*H43^-0.079,1.4*491*H43^-0.353),IF(D43&gt;0,IF(D43&gt;10000,1.4*39.703*D43^-0.079,1.4*491*D43^-0.353),0))</f>
        <v>0</v>
      </c>
      <c r="S43" s="165">
        <f>R43*D43</f>
        <v>0</v>
      </c>
      <c r="T43" s="169">
        <f>Eingabe_2!H107</f>
        <v>0</v>
      </c>
      <c r="U43" s="168" t="str">
        <f>Eingabe_2!H108</f>
        <v>Richtwert</v>
      </c>
      <c r="V43" s="539"/>
      <c r="AC43" s="89">
        <f>IF(M43=K$4,K43*N43,L43*N43)</f>
        <v>0</v>
      </c>
      <c r="AD43" s="90">
        <f t="shared" ref="AD43:AD45" si="19">IF(U43=$S$4,S43,T43)</f>
        <v>0</v>
      </c>
      <c r="AE43" s="90"/>
      <c r="AF43" s="96"/>
    </row>
    <row r="44" spans="1:32" s="192" customFormat="1" ht="13.5" customHeight="1" thickBot="1" x14ac:dyDescent="0.25">
      <c r="A44" s="467" t="s">
        <v>63</v>
      </c>
      <c r="B44" s="162"/>
      <c r="C44" s="126" t="s">
        <v>192</v>
      </c>
      <c r="D44" s="172">
        <f>Eingabe_2!H111</f>
        <v>0</v>
      </c>
      <c r="E44" s="74" t="s">
        <v>29</v>
      </c>
      <c r="F44" s="276"/>
      <c r="G44" s="276" t="str">
        <f>Eingabe_2!H112</f>
        <v>eigene KA</v>
      </c>
      <c r="H44" s="165">
        <f>Eingabe_2!H113</f>
        <v>0</v>
      </c>
      <c r="I44" s="74" t="str">
        <f>IF(G44=C102,"EW","")</f>
        <v/>
      </c>
      <c r="J44" s="596">
        <f t="shared" si="17"/>
        <v>0</v>
      </c>
      <c r="K44" s="165">
        <f>J44*D44</f>
        <v>0</v>
      </c>
      <c r="L44" s="169">
        <f>Eingabe_2!H114</f>
        <v>0</v>
      </c>
      <c r="M44" s="168" t="str">
        <f>Eingabe_2!H115</f>
        <v>Richtwert</v>
      </c>
      <c r="N44" s="525">
        <f>Eingabe_2!H116</f>
        <v>1</v>
      </c>
      <c r="O44" s="168"/>
      <c r="P44" s="170">
        <f t="shared" si="18"/>
        <v>0</v>
      </c>
      <c r="Q44" s="165">
        <f t="shared" si="18"/>
        <v>0</v>
      </c>
      <c r="R44" s="608">
        <f t="shared" ref="R44:R45" si="20">IF(G44=C$102,IF(H44&gt;10000,1.4*39.703*H44^-0.079,1.4*491*H44^-0.353),IF(D44&gt;0,IF(D44&gt;10000,1.4*39.703*D44^-0.079,1.4*491*D44^-0.353),0))</f>
        <v>0</v>
      </c>
      <c r="S44" s="165">
        <f>R44*D44</f>
        <v>0</v>
      </c>
      <c r="T44" s="169">
        <f>Eingabe_2!H117</f>
        <v>0</v>
      </c>
      <c r="U44" s="168" t="str">
        <f>Eingabe_2!H118</f>
        <v>Richtwert</v>
      </c>
      <c r="V44" s="539"/>
      <c r="AC44" s="89">
        <f t="shared" ref="AC44:AC48" si="21">IF(M44=K$4,K44*N44,L44*N44)</f>
        <v>0</v>
      </c>
      <c r="AD44" s="90">
        <f t="shared" si="19"/>
        <v>0</v>
      </c>
      <c r="AE44" s="90"/>
      <c r="AF44" s="96"/>
    </row>
    <row r="45" spans="1:32" s="192" customFormat="1" ht="13.5" customHeight="1" thickBot="1" x14ac:dyDescent="0.25">
      <c r="A45" s="467" t="s">
        <v>63</v>
      </c>
      <c r="B45" s="162"/>
      <c r="C45" s="126" t="s">
        <v>193</v>
      </c>
      <c r="D45" s="172">
        <f>Eingabe_2!H121</f>
        <v>0</v>
      </c>
      <c r="E45" s="74" t="s">
        <v>29</v>
      </c>
      <c r="F45" s="276"/>
      <c r="G45" s="276" t="str">
        <f>Eingabe_2!H122</f>
        <v>eigene KA</v>
      </c>
      <c r="H45" s="165">
        <f>Eingabe_2!H123</f>
        <v>0</v>
      </c>
      <c r="I45" s="74" t="str">
        <f>IF(G45=C102,"EW","")</f>
        <v/>
      </c>
      <c r="J45" s="596">
        <f>IF(G45=C$102,11183*H45^-0.261*1.45,IF(D45&gt;0,11183*D45^-0.261*1.45,0))</f>
        <v>0</v>
      </c>
      <c r="K45" s="165">
        <f>J45*D45</f>
        <v>0</v>
      </c>
      <c r="L45" s="169">
        <f>Eingabe_2!H124</f>
        <v>0</v>
      </c>
      <c r="M45" s="168" t="str">
        <f>Eingabe_2!H125</f>
        <v>Richtwert</v>
      </c>
      <c r="N45" s="525">
        <f>Eingabe_2!H126</f>
        <v>1</v>
      </c>
      <c r="O45" s="168"/>
      <c r="P45" s="170">
        <f t="shared" si="18"/>
        <v>0</v>
      </c>
      <c r="Q45" s="165">
        <f t="shared" si="18"/>
        <v>0</v>
      </c>
      <c r="R45" s="608">
        <f t="shared" si="20"/>
        <v>0</v>
      </c>
      <c r="S45" s="165">
        <f>R45*D45</f>
        <v>0</v>
      </c>
      <c r="T45" s="169">
        <f>Eingabe_2!H127</f>
        <v>0</v>
      </c>
      <c r="U45" s="168" t="str">
        <f>Eingabe_2!H128</f>
        <v>Richtwert</v>
      </c>
      <c r="V45" s="539"/>
      <c r="AC45" s="89">
        <f t="shared" si="21"/>
        <v>0</v>
      </c>
      <c r="AD45" s="90">
        <f t="shared" si="19"/>
        <v>0</v>
      </c>
      <c r="AE45" s="90"/>
      <c r="AF45" s="96"/>
    </row>
    <row r="46" spans="1:32" s="192" customFormat="1" ht="13.5" customHeight="1" x14ac:dyDescent="0.2">
      <c r="A46" s="467" t="s">
        <v>63</v>
      </c>
      <c r="B46" s="162"/>
      <c r="C46" s="420" t="s">
        <v>230</v>
      </c>
      <c r="D46" s="174">
        <f>Eingabe_2!H131</f>
        <v>0</v>
      </c>
      <c r="E46" s="74" t="s">
        <v>29</v>
      </c>
      <c r="F46" s="276"/>
      <c r="G46" s="276">
        <f>Eingabe_2!H132</f>
        <v>0</v>
      </c>
      <c r="H46" s="168" t="s">
        <v>128</v>
      </c>
      <c r="I46" s="74"/>
      <c r="J46" s="596">
        <f>IF(D46&gt;0,2802.7*D46^-0.244*1.48,0)</f>
        <v>0</v>
      </c>
      <c r="K46" s="165">
        <f>D46*J46*G46</f>
        <v>0</v>
      </c>
      <c r="L46" s="340">
        <f>Eingabe_2!H133*G46</f>
        <v>0</v>
      </c>
      <c r="M46" s="168" t="str">
        <f>Eingabe_2!H134</f>
        <v>Richtwert</v>
      </c>
      <c r="N46" s="525">
        <f>Eingabe_2!H135</f>
        <v>1</v>
      </c>
      <c r="O46" s="168"/>
      <c r="P46" s="170">
        <f t="shared" si="18"/>
        <v>0</v>
      </c>
      <c r="Q46" s="165">
        <f t="shared" si="18"/>
        <v>0</v>
      </c>
      <c r="R46" s="170">
        <f>IF(D46&gt;0,D46*186.89*D46^(-0.047),0)</f>
        <v>0</v>
      </c>
      <c r="S46" s="165">
        <f>R46*G46</f>
        <v>0</v>
      </c>
      <c r="T46" s="340">
        <f>Eingabe_2!H136*G46</f>
        <v>0</v>
      </c>
      <c r="U46" s="168" t="str">
        <f>Eingabe_2!H137</f>
        <v>Richtwert</v>
      </c>
      <c r="V46" s="539" t="str">
        <f>Eingabe_2!H138</f>
        <v>Dauerhaft</v>
      </c>
      <c r="AC46" s="89">
        <f t="shared" si="21"/>
        <v>0</v>
      </c>
      <c r="AD46" s="578">
        <f>IF(V46="Dauerhaft",IF((U46=$S$4),S46,T46),0)</f>
        <v>0</v>
      </c>
      <c r="AE46" s="578">
        <f>IF(V46="15 Jahre",IF((U46=$S$4),S46,T46),0)</f>
        <v>0</v>
      </c>
      <c r="AF46" s="96"/>
    </row>
    <row r="47" spans="1:32" s="192" customFormat="1" ht="13.5" customHeight="1" x14ac:dyDescent="0.2">
      <c r="A47" s="467" t="s">
        <v>63</v>
      </c>
      <c r="B47" s="162"/>
      <c r="C47" s="420" t="s">
        <v>231</v>
      </c>
      <c r="D47" s="174">
        <f>Eingabe_2!H140</f>
        <v>0</v>
      </c>
      <c r="E47" s="74" t="s">
        <v>29</v>
      </c>
      <c r="F47" s="276"/>
      <c r="G47" s="276">
        <f>Eingabe_2!H141</f>
        <v>0</v>
      </c>
      <c r="H47" s="168" t="s">
        <v>128</v>
      </c>
      <c r="I47" s="74"/>
      <c r="J47" s="596">
        <f t="shared" ref="J47:J48" si="22">IF(D47&gt;0,2802.7*D47^-0.244*1.48,0)</f>
        <v>0</v>
      </c>
      <c r="K47" s="165">
        <f>D47*J47*G47</f>
        <v>0</v>
      </c>
      <c r="L47" s="340">
        <f>Eingabe_2!H142*G47</f>
        <v>0</v>
      </c>
      <c r="M47" s="168" t="str">
        <f>Eingabe_2!H143</f>
        <v>Richtwert</v>
      </c>
      <c r="N47" s="525">
        <f>Eingabe_2!H144</f>
        <v>1</v>
      </c>
      <c r="O47" s="168"/>
      <c r="P47" s="170">
        <f t="shared" si="18"/>
        <v>0</v>
      </c>
      <c r="Q47" s="165">
        <f t="shared" si="18"/>
        <v>0</v>
      </c>
      <c r="R47" s="170">
        <f t="shared" ref="R47:R48" si="23">IF(D47&gt;0,D47*186.89*D47^(-0.047),0)</f>
        <v>0</v>
      </c>
      <c r="S47" s="165">
        <f>R47*G47</f>
        <v>0</v>
      </c>
      <c r="T47" s="340">
        <f>Eingabe_2!H145*G47</f>
        <v>0</v>
      </c>
      <c r="U47" s="168" t="str">
        <f>Eingabe_2!H146</f>
        <v>Richtwert</v>
      </c>
      <c r="V47" s="539" t="str">
        <f>Eingabe_2!H147</f>
        <v>Dauerhaft</v>
      </c>
      <c r="AC47" s="89">
        <f t="shared" si="21"/>
        <v>0</v>
      </c>
      <c r="AD47" s="578">
        <f t="shared" ref="AD47:AD48" si="24">IF(V47="Dauerhaft",IF((U47=$S$4),S47,T47),0)</f>
        <v>0</v>
      </c>
      <c r="AE47" s="578">
        <f t="shared" ref="AE47:AE48" si="25">IF(V47="15 Jahre",IF((U47=$S$4),S47,T47),0)</f>
        <v>0</v>
      </c>
      <c r="AF47" s="96"/>
    </row>
    <row r="48" spans="1:32" s="192" customFormat="1" ht="13.5" customHeight="1" x14ac:dyDescent="0.2">
      <c r="A48" s="467" t="s">
        <v>63</v>
      </c>
      <c r="B48" s="162"/>
      <c r="C48" s="420" t="s">
        <v>232</v>
      </c>
      <c r="D48" s="174">
        <f>Eingabe_2!H149</f>
        <v>0</v>
      </c>
      <c r="E48" s="74" t="s">
        <v>29</v>
      </c>
      <c r="F48" s="74"/>
      <c r="G48" s="276">
        <f>Eingabe_2!H150</f>
        <v>0</v>
      </c>
      <c r="H48" s="168" t="s">
        <v>128</v>
      </c>
      <c r="I48" s="74"/>
      <c r="J48" s="596">
        <f t="shared" si="22"/>
        <v>0</v>
      </c>
      <c r="K48" s="165">
        <f>D48*J48*G48</f>
        <v>0</v>
      </c>
      <c r="L48" s="175">
        <f>Eingabe_2!H151*G48</f>
        <v>0</v>
      </c>
      <c r="M48" s="168" t="str">
        <f>Eingabe_2!H152</f>
        <v>Richtwert</v>
      </c>
      <c r="N48" s="525">
        <f>Eingabe_2!H153</f>
        <v>1</v>
      </c>
      <c r="O48" s="168"/>
      <c r="P48" s="194">
        <f t="shared" si="18"/>
        <v>0</v>
      </c>
      <c r="Q48" s="165">
        <f t="shared" si="18"/>
        <v>0</v>
      </c>
      <c r="R48" s="170">
        <f t="shared" si="23"/>
        <v>0</v>
      </c>
      <c r="S48" s="165">
        <f>R48*G48</f>
        <v>0</v>
      </c>
      <c r="T48" s="175">
        <f>Eingabe_2!H154*G48</f>
        <v>0</v>
      </c>
      <c r="U48" s="168" t="str">
        <f>Eingabe_2!H155</f>
        <v>Richtwert</v>
      </c>
      <c r="V48" s="539" t="str">
        <f>Eingabe_2!H156</f>
        <v>Dauerhaft</v>
      </c>
      <c r="AC48" s="89">
        <f t="shared" si="21"/>
        <v>0</v>
      </c>
      <c r="AD48" s="578">
        <f t="shared" si="24"/>
        <v>0</v>
      </c>
      <c r="AE48" s="578">
        <f t="shared" si="25"/>
        <v>0</v>
      </c>
      <c r="AF48" s="96"/>
    </row>
    <row r="49" spans="1:32" s="192" customFormat="1" ht="13.5" customHeight="1" x14ac:dyDescent="0.2">
      <c r="A49" s="467" t="s">
        <v>63</v>
      </c>
      <c r="B49" s="162"/>
      <c r="C49" s="127" t="s">
        <v>265</v>
      </c>
      <c r="D49" s="74"/>
      <c r="E49" s="74"/>
      <c r="F49" s="74"/>
      <c r="G49" s="126"/>
      <c r="H49" s="74"/>
      <c r="I49" s="74"/>
      <c r="J49" s="165"/>
      <c r="K49" s="477">
        <f>SUM(K43:K48)</f>
        <v>0</v>
      </c>
      <c r="L49" s="478">
        <f>SUM(L43:L48)</f>
        <v>0</v>
      </c>
      <c r="M49" s="477">
        <f>AC49</f>
        <v>0</v>
      </c>
      <c r="N49" s="204"/>
      <c r="O49" s="204"/>
      <c r="P49" s="480">
        <f>SUM(P43:P48)</f>
        <v>0</v>
      </c>
      <c r="Q49" s="555">
        <f>SUM(Q43:Q48)</f>
        <v>0</v>
      </c>
      <c r="R49" s="170"/>
      <c r="S49" s="477">
        <f>SUM(S43:S45)+SUMIF(V46:V48,"Dauerhaft",S46:S48)</f>
        <v>0</v>
      </c>
      <c r="T49" s="478">
        <f>SUM(T43:T48)</f>
        <v>0</v>
      </c>
      <c r="U49" s="477">
        <f>AD49</f>
        <v>0</v>
      </c>
      <c r="V49" s="540"/>
      <c r="AC49" s="93">
        <f>SUM(AC43:AC48)</f>
        <v>0</v>
      </c>
      <c r="AD49" s="94">
        <f>SUM(AD43:AD48)</f>
        <v>0</v>
      </c>
      <c r="AE49" s="94"/>
      <c r="AF49" s="96"/>
    </row>
    <row r="50" spans="1:32" s="192" customFormat="1" ht="13.5" customHeight="1" x14ac:dyDescent="0.2">
      <c r="A50" s="467"/>
      <c r="B50" s="162"/>
      <c r="C50" s="558" t="s">
        <v>266</v>
      </c>
      <c r="D50" s="74"/>
      <c r="E50" s="74"/>
      <c r="F50" s="74"/>
      <c r="G50" s="126"/>
      <c r="H50" s="74"/>
      <c r="I50" s="74"/>
      <c r="J50" s="165"/>
      <c r="K50" s="204"/>
      <c r="L50" s="213"/>
      <c r="M50" s="204"/>
      <c r="N50" s="204"/>
      <c r="O50" s="204"/>
      <c r="P50" s="170"/>
      <c r="Q50" s="165"/>
      <c r="R50" s="170"/>
      <c r="S50" s="560">
        <f>SUMIF(V46:V48,"15 Jahre",S46:S48)</f>
        <v>0</v>
      </c>
      <c r="T50" s="560"/>
      <c r="U50" s="560">
        <f>AE50</f>
        <v>0</v>
      </c>
      <c r="V50" s="540"/>
      <c r="AC50" s="93"/>
      <c r="AD50" s="94"/>
      <c r="AE50" s="563">
        <f>SUM(AE46:AE48)</f>
        <v>0</v>
      </c>
      <c r="AF50" s="96"/>
    </row>
    <row r="51" spans="1:32" s="192" customFormat="1" ht="13.5" customHeight="1" x14ac:dyDescent="0.2">
      <c r="A51" s="467"/>
      <c r="B51" s="152">
        <v>6</v>
      </c>
      <c r="C51" s="185" t="s">
        <v>251</v>
      </c>
      <c r="D51" s="153"/>
      <c r="E51" s="153"/>
      <c r="F51" s="153"/>
      <c r="G51" s="155"/>
      <c r="H51" s="153"/>
      <c r="I51" s="153"/>
      <c r="J51" s="201"/>
      <c r="K51" s="375"/>
      <c r="L51" s="376"/>
      <c r="M51" s="375"/>
      <c r="N51" s="375"/>
      <c r="O51" s="377"/>
      <c r="P51" s="158"/>
      <c r="Q51" s="159"/>
      <c r="R51" s="158"/>
      <c r="S51" s="375"/>
      <c r="T51" s="376"/>
      <c r="U51" s="375"/>
      <c r="V51" s="540"/>
      <c r="AC51" s="93"/>
      <c r="AD51" s="94"/>
      <c r="AE51" s="94"/>
      <c r="AF51" s="96"/>
    </row>
    <row r="52" spans="1:32" s="192" customFormat="1" ht="13.5" customHeight="1" x14ac:dyDescent="0.2">
      <c r="A52" s="467"/>
      <c r="B52" s="483"/>
      <c r="C52" s="420" t="s">
        <v>248</v>
      </c>
      <c r="D52" s="464"/>
      <c r="E52" s="464"/>
      <c r="F52" s="464"/>
      <c r="G52" s="420"/>
      <c r="H52" s="464"/>
      <c r="I52" s="464"/>
      <c r="J52" s="165"/>
      <c r="K52" s="165"/>
      <c r="L52" s="169">
        <f>Eingabe_2!H159</f>
        <v>0</v>
      </c>
      <c r="M52" s="165"/>
      <c r="N52" s="165"/>
      <c r="O52" s="173"/>
      <c r="P52" s="170"/>
      <c r="Q52" s="173"/>
      <c r="R52" s="170"/>
      <c r="S52" s="165"/>
      <c r="T52" s="186"/>
      <c r="U52" s="165"/>
      <c r="V52" s="542"/>
      <c r="AC52" s="89">
        <f t="shared" ref="AC52:AC54" si="26">IF(M52=K$4,K52,L52)</f>
        <v>0</v>
      </c>
      <c r="AD52" s="90">
        <f t="shared" ref="AD52:AD54" si="27">IF(U52=$S$4,S52,T52)</f>
        <v>0</v>
      </c>
      <c r="AE52" s="90"/>
      <c r="AF52" s="96"/>
    </row>
    <row r="53" spans="1:32" s="192" customFormat="1" ht="13.5" customHeight="1" x14ac:dyDescent="0.2">
      <c r="A53" s="467"/>
      <c r="B53" s="483"/>
      <c r="C53" s="420" t="s">
        <v>249</v>
      </c>
      <c r="D53" s="464"/>
      <c r="E53" s="464"/>
      <c r="F53" s="464"/>
      <c r="G53" s="420"/>
      <c r="H53" s="464"/>
      <c r="I53" s="464"/>
      <c r="J53" s="165"/>
      <c r="K53" s="165"/>
      <c r="L53" s="169">
        <f>Eingabe_2!H160</f>
        <v>0</v>
      </c>
      <c r="M53" s="165"/>
      <c r="N53" s="165"/>
      <c r="O53" s="173"/>
      <c r="P53" s="170"/>
      <c r="Q53" s="173"/>
      <c r="R53" s="170"/>
      <c r="S53" s="165"/>
      <c r="T53" s="186"/>
      <c r="U53" s="165"/>
      <c r="V53" s="542"/>
      <c r="AC53" s="89">
        <f t="shared" si="26"/>
        <v>0</v>
      </c>
      <c r="AD53" s="90">
        <f t="shared" si="27"/>
        <v>0</v>
      </c>
      <c r="AE53" s="90"/>
      <c r="AF53" s="96"/>
    </row>
    <row r="54" spans="1:32" s="192" customFormat="1" ht="13.5" customHeight="1" x14ac:dyDescent="0.2">
      <c r="A54" s="467"/>
      <c r="B54" s="483"/>
      <c r="C54" s="420" t="s">
        <v>250</v>
      </c>
      <c r="D54" s="464"/>
      <c r="E54" s="464"/>
      <c r="F54" s="464"/>
      <c r="G54" s="420"/>
      <c r="H54" s="464"/>
      <c r="I54" s="464"/>
      <c r="J54" s="165"/>
      <c r="K54" s="165"/>
      <c r="L54" s="169">
        <f>Eingabe_2!H161</f>
        <v>0</v>
      </c>
      <c r="M54" s="165"/>
      <c r="N54" s="165"/>
      <c r="O54" s="173"/>
      <c r="P54" s="170"/>
      <c r="Q54" s="173"/>
      <c r="R54" s="170"/>
      <c r="S54" s="165"/>
      <c r="T54" s="186"/>
      <c r="U54" s="165"/>
      <c r="V54" s="542"/>
      <c r="AC54" s="89">
        <f t="shared" si="26"/>
        <v>0</v>
      </c>
      <c r="AD54" s="90">
        <f t="shared" si="27"/>
        <v>0</v>
      </c>
      <c r="AE54" s="90"/>
      <c r="AF54" s="96"/>
    </row>
    <row r="55" spans="1:32" s="192" customFormat="1" ht="13.5" customHeight="1" thickBot="1" x14ac:dyDescent="0.25">
      <c r="A55" s="467"/>
      <c r="B55" s="176"/>
      <c r="C55" s="177" t="s">
        <v>26</v>
      </c>
      <c r="D55" s="178"/>
      <c r="E55" s="178"/>
      <c r="F55" s="178"/>
      <c r="G55" s="195"/>
      <c r="H55" s="178"/>
      <c r="I55" s="178"/>
      <c r="J55" s="151"/>
      <c r="K55" s="196">
        <f>SUM(K52:K54)</f>
        <v>0</v>
      </c>
      <c r="L55" s="488">
        <f>SUM(L52:L54)</f>
        <v>0</v>
      </c>
      <c r="M55" s="485">
        <f>AC55</f>
        <v>0</v>
      </c>
      <c r="N55" s="182"/>
      <c r="O55" s="182"/>
      <c r="P55" s="197">
        <f>SUM(P48:P54)</f>
        <v>0</v>
      </c>
      <c r="Q55" s="486">
        <f>SUM(Q48:Q54)</f>
        <v>0</v>
      </c>
      <c r="R55" s="150"/>
      <c r="S55" s="487"/>
      <c r="T55" s="488"/>
      <c r="U55" s="533"/>
      <c r="V55" s="543"/>
      <c r="AC55" s="97">
        <f>SUM(AC52:AC54)</f>
        <v>0</v>
      </c>
      <c r="AD55" s="98">
        <f>SUM(AD52:AD54)</f>
        <v>0</v>
      </c>
      <c r="AE55" s="98"/>
      <c r="AF55" s="99"/>
    </row>
    <row r="56" spans="1:32" ht="13.5" customHeight="1" x14ac:dyDescent="0.2">
      <c r="A56" s="467" t="s">
        <v>63</v>
      </c>
      <c r="B56" s="162"/>
      <c r="J56" s="165"/>
      <c r="K56" s="165"/>
      <c r="L56" s="326"/>
      <c r="M56" s="165"/>
      <c r="N56" s="165"/>
      <c r="O56" s="165"/>
      <c r="P56" s="170"/>
      <c r="Q56" s="173"/>
      <c r="R56" s="165"/>
      <c r="S56" s="165"/>
      <c r="T56" s="186"/>
      <c r="U56" s="165"/>
      <c r="V56" s="554"/>
    </row>
    <row r="57" spans="1:32" ht="13.5" customHeight="1" x14ac:dyDescent="0.2">
      <c r="A57" s="467" t="s">
        <v>63</v>
      </c>
      <c r="B57" s="162"/>
      <c r="C57" s="203" t="s">
        <v>30</v>
      </c>
      <c r="D57" s="174"/>
      <c r="G57" s="127"/>
      <c r="J57" s="165"/>
      <c r="K57" s="204">
        <f>K11+K25+K35+K41+K49</f>
        <v>0</v>
      </c>
      <c r="L57" s="205">
        <f>L11+L25+L35+L41+L49+L55</f>
        <v>0</v>
      </c>
      <c r="M57" s="204">
        <f>M11+M25+M35+M41+M49+M55</f>
        <v>0</v>
      </c>
      <c r="N57" s="204"/>
      <c r="O57" s="204"/>
      <c r="P57" s="206">
        <f>P11+P35+P41+P49</f>
        <v>0</v>
      </c>
      <c r="Q57" s="207">
        <f>Q11+Q35+Q41+Q49</f>
        <v>0</v>
      </c>
      <c r="R57" s="165"/>
      <c r="S57" s="204">
        <f>S11+S25+R35+S35+R41+S49</f>
        <v>0</v>
      </c>
      <c r="T57" s="205">
        <f>T11+T25+T35+T41+T49</f>
        <v>0</v>
      </c>
      <c r="U57" s="204">
        <f>U11+U25+U35+U41+U49</f>
        <v>0</v>
      </c>
      <c r="V57" s="540"/>
    </row>
    <row r="58" spans="1:32" ht="13.5" customHeight="1" x14ac:dyDescent="0.2">
      <c r="A58" s="467"/>
      <c r="B58" s="162"/>
      <c r="C58" s="564" t="s">
        <v>267</v>
      </c>
      <c r="D58" s="174"/>
      <c r="G58" s="127"/>
      <c r="J58" s="165"/>
      <c r="K58" s="204"/>
      <c r="L58" s="213"/>
      <c r="M58" s="204"/>
      <c r="N58" s="204"/>
      <c r="O58" s="204"/>
      <c r="P58" s="206"/>
      <c r="Q58" s="207"/>
      <c r="R58" s="165"/>
      <c r="S58" s="204"/>
      <c r="T58" s="213"/>
      <c r="U58" s="560">
        <f>U50</f>
        <v>0</v>
      </c>
      <c r="V58" s="540"/>
    </row>
    <row r="59" spans="1:32" ht="13.5" customHeight="1" x14ac:dyDescent="0.2">
      <c r="B59" s="176"/>
      <c r="C59" s="208"/>
      <c r="D59" s="209"/>
      <c r="E59" s="178"/>
      <c r="F59" s="178"/>
      <c r="G59" s="177"/>
      <c r="H59" s="178"/>
      <c r="I59" s="178"/>
      <c r="J59" s="151"/>
      <c r="K59" s="182"/>
      <c r="L59" s="210"/>
      <c r="M59" s="182"/>
      <c r="N59" s="182"/>
      <c r="O59" s="182"/>
      <c r="P59" s="211"/>
      <c r="Q59" s="212"/>
      <c r="R59" s="151"/>
      <c r="S59" s="151"/>
      <c r="T59" s="210"/>
      <c r="U59" s="182"/>
      <c r="V59" s="543"/>
    </row>
    <row r="60" spans="1:32" ht="13.5" customHeight="1" x14ac:dyDescent="0.2">
      <c r="C60" s="203"/>
      <c r="D60" s="174"/>
      <c r="G60" s="127"/>
      <c r="J60" s="165"/>
      <c r="K60" s="204"/>
      <c r="L60" s="213"/>
      <c r="M60" s="204"/>
      <c r="N60" s="204"/>
      <c r="O60" s="204"/>
      <c r="P60" s="204"/>
      <c r="Q60" s="214"/>
      <c r="R60" s="165"/>
      <c r="S60" s="165"/>
      <c r="T60" s="165"/>
      <c r="U60" s="165"/>
      <c r="V60" s="544"/>
    </row>
    <row r="61" spans="1:32" ht="13.5" customHeight="1" x14ac:dyDescent="0.2">
      <c r="C61" s="203"/>
      <c r="D61" s="174"/>
      <c r="G61" s="127"/>
      <c r="J61" s="165"/>
      <c r="K61" s="204"/>
      <c r="L61" s="213"/>
      <c r="M61" s="204"/>
      <c r="N61" s="204"/>
      <c r="O61" s="204"/>
      <c r="P61" s="204"/>
      <c r="Q61" s="215"/>
      <c r="R61" s="165"/>
      <c r="S61" s="165"/>
      <c r="T61" s="165"/>
      <c r="U61" s="165"/>
      <c r="V61" s="544"/>
    </row>
    <row r="62" spans="1:32" ht="13.5" customHeight="1" thickBot="1" x14ac:dyDescent="0.25">
      <c r="C62" s="125" t="s">
        <v>31</v>
      </c>
      <c r="D62" s="216">
        <f>Eingabe_2!H166</f>
        <v>3</v>
      </c>
      <c r="E62" s="217" t="s">
        <v>10</v>
      </c>
      <c r="F62" s="218" t="s">
        <v>32</v>
      </c>
      <c r="H62" s="219"/>
      <c r="I62" s="219"/>
      <c r="K62" s="200"/>
      <c r="L62" s="220"/>
      <c r="M62" s="200"/>
      <c r="N62" s="200"/>
      <c r="O62" s="200"/>
      <c r="R62" s="221"/>
    </row>
    <row r="63" spans="1:32" ht="13.5" customHeight="1" x14ac:dyDescent="0.2">
      <c r="C63" s="74"/>
      <c r="D63" s="222">
        <f>Eingabe_2!H167</f>
        <v>2</v>
      </c>
      <c r="E63" s="217" t="s">
        <v>10</v>
      </c>
      <c r="F63" s="218" t="s">
        <v>33</v>
      </c>
      <c r="H63" s="219"/>
      <c r="I63" s="219"/>
      <c r="J63" s="74"/>
      <c r="K63" s="200"/>
      <c r="L63" s="220"/>
      <c r="M63" s="200"/>
      <c r="N63" s="200"/>
      <c r="O63" s="200"/>
    </row>
    <row r="64" spans="1:32" ht="13.5" customHeight="1" x14ac:dyDescent="0.2">
      <c r="C64" s="74"/>
      <c r="D64" s="222"/>
      <c r="E64" s="217"/>
      <c r="F64" s="217"/>
      <c r="G64" s="218"/>
      <c r="H64" s="219"/>
      <c r="I64" s="219"/>
      <c r="J64" s="223" t="s">
        <v>34</v>
      </c>
      <c r="K64" s="200"/>
      <c r="L64" s="220"/>
      <c r="M64" s="200"/>
      <c r="N64" s="200"/>
      <c r="O64" s="200"/>
      <c r="P64" s="224"/>
      <c r="W64" s="225" t="s">
        <v>35</v>
      </c>
    </row>
    <row r="65" spans="2:23" ht="13.5" customHeight="1" x14ac:dyDescent="0.2">
      <c r="B65" s="226"/>
      <c r="C65" s="227" t="s">
        <v>36</v>
      </c>
      <c r="D65" s="228"/>
      <c r="E65" s="228"/>
      <c r="F65" s="228"/>
      <c r="G65" s="227"/>
      <c r="H65" s="228"/>
      <c r="I65" s="228"/>
      <c r="J65" s="279"/>
      <c r="K65" s="228"/>
      <c r="L65" s="231"/>
      <c r="M65" s="231">
        <f>M57</f>
        <v>0</v>
      </c>
      <c r="N65" s="231"/>
      <c r="O65" s="231"/>
      <c r="P65" s="232"/>
      <c r="Q65" s="233"/>
      <c r="R65" s="230"/>
      <c r="S65" s="234"/>
      <c r="T65" s="235"/>
      <c r="U65" s="235"/>
      <c r="V65" s="545"/>
      <c r="W65" s="236">
        <f>M65</f>
        <v>0</v>
      </c>
    </row>
    <row r="66" spans="2:23" ht="13.5" customHeight="1" x14ac:dyDescent="0.2">
      <c r="B66" s="226"/>
      <c r="C66" s="237" t="s">
        <v>37</v>
      </c>
      <c r="D66" s="238">
        <v>12.5</v>
      </c>
      <c r="E66" s="239" t="s">
        <v>38</v>
      </c>
      <c r="F66" s="239"/>
      <c r="G66" s="227"/>
      <c r="H66" s="228"/>
      <c r="I66" s="228"/>
      <c r="J66" s="240">
        <f>1/(1+D62/100)^D66</f>
        <v>0.69109013106950024</v>
      </c>
      <c r="K66" s="241"/>
      <c r="L66" s="242"/>
      <c r="M66" s="231"/>
      <c r="N66" s="231"/>
      <c r="O66" s="231"/>
      <c r="P66" s="243"/>
      <c r="Q66" s="244">
        <f>Q57</f>
        <v>0</v>
      </c>
      <c r="R66" s="230"/>
      <c r="S66" s="234"/>
      <c r="T66" s="235"/>
      <c r="U66" s="235"/>
      <c r="V66" s="545"/>
      <c r="W66" s="244">
        <f>(P66+Q66)*J66</f>
        <v>0</v>
      </c>
    </row>
    <row r="67" spans="2:23" ht="13.5" customHeight="1" x14ac:dyDescent="0.2">
      <c r="B67" s="226"/>
      <c r="C67" s="237" t="s">
        <v>37</v>
      </c>
      <c r="D67" s="238">
        <v>26</v>
      </c>
      <c r="E67" s="239" t="s">
        <v>38</v>
      </c>
      <c r="F67" s="239"/>
      <c r="G67" s="227"/>
      <c r="H67" s="228"/>
      <c r="I67" s="228"/>
      <c r="J67" s="240">
        <f>1/(1+D62/100)^D67</f>
        <v>0.46369472743850448</v>
      </c>
      <c r="K67" s="231"/>
      <c r="L67" s="242"/>
      <c r="M67" s="231"/>
      <c r="N67" s="231"/>
      <c r="O67" s="231"/>
      <c r="P67" s="245">
        <f>P57</f>
        <v>0</v>
      </c>
      <c r="Q67" s="244">
        <f>Q57</f>
        <v>0</v>
      </c>
      <c r="R67" s="230"/>
      <c r="S67" s="234"/>
      <c r="T67" s="235"/>
      <c r="U67" s="235"/>
      <c r="V67" s="545"/>
      <c r="W67" s="244">
        <f>(P67+Q67)*J67</f>
        <v>0</v>
      </c>
    </row>
    <row r="68" spans="2:23" ht="13.5" customHeight="1" x14ac:dyDescent="0.2">
      <c r="B68" s="226"/>
      <c r="C68" s="237" t="s">
        <v>37</v>
      </c>
      <c r="D68" s="238">
        <v>37.5</v>
      </c>
      <c r="E68" s="239" t="s">
        <v>38</v>
      </c>
      <c r="F68" s="239"/>
      <c r="G68" s="227"/>
      <c r="H68" s="228"/>
      <c r="I68" s="228"/>
      <c r="J68" s="240">
        <f>1/(1+D62/100)^D68</f>
        <v>0.33006849546056333</v>
      </c>
      <c r="K68" s="235"/>
      <c r="L68" s="242"/>
      <c r="M68" s="235"/>
      <c r="N68" s="235"/>
      <c r="O68" s="235"/>
      <c r="P68" s="243"/>
      <c r="Q68" s="234">
        <f>Q57</f>
        <v>0</v>
      </c>
      <c r="R68" s="230"/>
      <c r="S68" s="159"/>
      <c r="T68" s="235"/>
      <c r="U68" s="235"/>
      <c r="V68" s="545"/>
      <c r="W68" s="244">
        <f>(P68+Q68)*J68</f>
        <v>0</v>
      </c>
    </row>
    <row r="69" spans="2:23" s="536" customFormat="1" ht="13.5" customHeight="1" x14ac:dyDescent="0.2">
      <c r="B69" s="566"/>
      <c r="C69" s="567" t="s">
        <v>268</v>
      </c>
      <c r="D69" s="568">
        <v>15</v>
      </c>
      <c r="E69" s="569" t="s">
        <v>38</v>
      </c>
      <c r="F69" s="569"/>
      <c r="G69" s="570"/>
      <c r="H69" s="571"/>
      <c r="I69" s="571"/>
      <c r="J69" s="581">
        <f>IF(D$62=D$63,D69,(1+D$63/100)*(((1+D$62/100)^D69-(1+D$63/100)^D69)/((1+D$62/100)^D69*(D$62/100-D$63/100))))</f>
        <v>13.886109397216375</v>
      </c>
      <c r="K69" s="572"/>
      <c r="L69" s="573"/>
      <c r="M69" s="573"/>
      <c r="N69" s="573"/>
      <c r="O69" s="573"/>
      <c r="P69" s="574"/>
      <c r="Q69" s="545"/>
      <c r="R69" s="575"/>
      <c r="S69" s="554"/>
      <c r="T69" s="573"/>
      <c r="U69" s="573">
        <f>U58</f>
        <v>0</v>
      </c>
      <c r="V69" s="545"/>
      <c r="W69" s="545">
        <f>U69*J69</f>
        <v>0</v>
      </c>
    </row>
    <row r="70" spans="2:23" s="258" customFormat="1" ht="13.5" customHeight="1" x14ac:dyDescent="0.2">
      <c r="B70" s="246"/>
      <c r="C70" s="247" t="s">
        <v>39</v>
      </c>
      <c r="D70" s="248">
        <v>25</v>
      </c>
      <c r="E70" s="249" t="s">
        <v>38</v>
      </c>
      <c r="F70" s="249"/>
      <c r="G70" s="250"/>
      <c r="H70" s="251"/>
      <c r="I70" s="251"/>
      <c r="J70" s="252">
        <f>IF(D$62=D$63,D70,(1+D$63/100)*(((1+D$62/100)^D70-(1+D$63/100)^D70)/((1+D$62/100)^D70*(D$62/100-D$63/100))))</f>
        <v>22.076618888117327</v>
      </c>
      <c r="K70" s="253"/>
      <c r="L70" s="254"/>
      <c r="M70" s="254"/>
      <c r="N70" s="254"/>
      <c r="O70" s="254"/>
      <c r="P70" s="255"/>
      <c r="Q70" s="256"/>
      <c r="R70" s="257"/>
      <c r="S70" s="256"/>
      <c r="T70" s="254"/>
      <c r="U70" s="254">
        <f>U57</f>
        <v>0</v>
      </c>
      <c r="V70" s="545"/>
      <c r="W70" s="256">
        <f>U70*J70</f>
        <v>0</v>
      </c>
    </row>
    <row r="71" spans="2:23" ht="13.5" customHeight="1" x14ac:dyDescent="0.2">
      <c r="B71" s="226"/>
      <c r="C71" s="259" t="s">
        <v>39</v>
      </c>
      <c r="D71" s="238">
        <v>50</v>
      </c>
      <c r="E71" s="239" t="s">
        <v>38</v>
      </c>
      <c r="F71" s="239"/>
      <c r="G71" s="227"/>
      <c r="H71" s="228"/>
      <c r="I71" s="228"/>
      <c r="J71" s="260">
        <f>IF(D62=D63,D71,(1+D63/100)*(((1+D62/100)^D71-(1+D63/100)^D71)/((1+D62/100)^D71*(D62/100-D63/100))))</f>
        <v>39.375030898477981</v>
      </c>
      <c r="K71" s="235"/>
      <c r="L71" s="242"/>
      <c r="M71" s="235"/>
      <c r="N71" s="235"/>
      <c r="O71" s="235"/>
      <c r="P71" s="243"/>
      <c r="Q71" s="234"/>
      <c r="R71" s="230"/>
      <c r="S71" s="228"/>
      <c r="T71" s="235"/>
      <c r="U71" s="235">
        <f>U57</f>
        <v>0</v>
      </c>
      <c r="V71" s="545"/>
      <c r="W71" s="234">
        <f>U71*J71</f>
        <v>0</v>
      </c>
    </row>
    <row r="72" spans="2:23" s="258" customFormat="1" ht="28.5" customHeight="1" x14ac:dyDescent="0.2">
      <c r="B72" s="261"/>
      <c r="C72" s="262" t="s">
        <v>40</v>
      </c>
      <c r="D72" s="263">
        <v>25</v>
      </c>
      <c r="E72" s="264" t="s">
        <v>38</v>
      </c>
      <c r="F72" s="249"/>
      <c r="G72" s="250"/>
      <c r="H72" s="251"/>
      <c r="I72" s="251"/>
      <c r="J72" s="254"/>
      <c r="K72" s="254"/>
      <c r="L72" s="254"/>
      <c r="M72" s="254"/>
      <c r="N72" s="254"/>
      <c r="O72" s="254"/>
      <c r="P72" s="254"/>
      <c r="Q72" s="254"/>
      <c r="R72" s="251"/>
      <c r="S72" s="251"/>
      <c r="T72" s="251"/>
      <c r="U72" s="251"/>
      <c r="V72" s="546"/>
      <c r="W72" s="266">
        <f>W65+W66+W69+W70</f>
        <v>0</v>
      </c>
    </row>
    <row r="73" spans="2:23" ht="28.5" customHeight="1" x14ac:dyDescent="0.2">
      <c r="B73" s="267"/>
      <c r="C73" s="268" t="s">
        <v>40</v>
      </c>
      <c r="D73" s="269">
        <f>D71</f>
        <v>50</v>
      </c>
      <c r="E73" s="270" t="s">
        <v>38</v>
      </c>
      <c r="F73" s="239"/>
      <c r="G73" s="227"/>
      <c r="H73" s="228"/>
      <c r="I73" s="228"/>
      <c r="J73" s="235"/>
      <c r="K73" s="235"/>
      <c r="L73" s="242"/>
      <c r="M73" s="235"/>
      <c r="N73" s="235"/>
      <c r="O73" s="235"/>
      <c r="P73" s="235"/>
      <c r="Q73" s="235"/>
      <c r="R73" s="228"/>
      <c r="S73" s="228"/>
      <c r="T73" s="228"/>
      <c r="U73" s="228"/>
      <c r="V73" s="546"/>
      <c r="W73" s="271">
        <f>SUM(W65:W69)+W71</f>
        <v>0</v>
      </c>
    </row>
    <row r="74" spans="2:23" x14ac:dyDescent="0.2">
      <c r="J74" s="165"/>
      <c r="K74" s="165"/>
      <c r="L74" s="186"/>
      <c r="M74" s="165"/>
      <c r="N74" s="165"/>
      <c r="O74" s="165"/>
      <c r="P74" s="165"/>
      <c r="Q74" s="165"/>
      <c r="W74" s="165"/>
    </row>
    <row r="75" spans="2:23" x14ac:dyDescent="0.2">
      <c r="J75" s="165"/>
      <c r="K75" s="165"/>
      <c r="L75" s="186"/>
      <c r="M75" s="165"/>
      <c r="N75" s="165"/>
      <c r="O75" s="165"/>
      <c r="P75" s="165"/>
      <c r="Q75" s="165"/>
      <c r="W75" s="165"/>
    </row>
    <row r="76" spans="2:23" x14ac:dyDescent="0.2">
      <c r="J76" s="165"/>
      <c r="K76" s="165"/>
      <c r="L76" s="186"/>
      <c r="M76" s="165"/>
      <c r="N76" s="165"/>
      <c r="O76" s="165"/>
      <c r="P76" s="165"/>
      <c r="Q76" s="165"/>
      <c r="W76" s="165"/>
    </row>
    <row r="77" spans="2:23" x14ac:dyDescent="0.2">
      <c r="J77" s="165"/>
      <c r="K77" s="165"/>
      <c r="L77" s="186"/>
      <c r="M77" s="165"/>
      <c r="N77" s="165"/>
      <c r="O77" s="165"/>
      <c r="P77" s="165"/>
      <c r="Q77" s="165"/>
      <c r="W77" s="165"/>
    </row>
    <row r="78" spans="2:23" x14ac:dyDescent="0.2">
      <c r="J78" s="165"/>
      <c r="K78" s="165"/>
      <c r="L78" s="186"/>
      <c r="M78" s="165"/>
      <c r="N78" s="165"/>
      <c r="O78" s="165"/>
      <c r="P78" s="165"/>
      <c r="Q78" s="165"/>
      <c r="W78" s="165"/>
    </row>
    <row r="79" spans="2:23" x14ac:dyDescent="0.2">
      <c r="J79" s="165"/>
      <c r="K79" s="165"/>
      <c r="L79" s="186"/>
      <c r="M79" s="165"/>
      <c r="N79" s="165"/>
      <c r="O79" s="165"/>
      <c r="P79" s="165"/>
      <c r="Q79" s="165"/>
      <c r="W79" s="165"/>
    </row>
    <row r="80" spans="2:23" x14ac:dyDescent="0.2">
      <c r="J80" s="165"/>
      <c r="K80" s="165"/>
      <c r="L80" s="186"/>
      <c r="M80" s="165"/>
      <c r="N80" s="165"/>
      <c r="O80" s="165"/>
      <c r="P80" s="165"/>
      <c r="Q80" s="165"/>
      <c r="W80" s="165"/>
    </row>
    <row r="81" spans="3:23" x14ac:dyDescent="0.2">
      <c r="J81" s="165"/>
      <c r="K81" s="165"/>
      <c r="L81" s="186"/>
      <c r="M81" s="165"/>
      <c r="N81" s="165"/>
      <c r="O81" s="165"/>
      <c r="P81" s="165"/>
      <c r="Q81" s="165"/>
      <c r="W81" s="165"/>
    </row>
    <row r="82" spans="3:23" x14ac:dyDescent="0.2">
      <c r="J82" s="165"/>
      <c r="K82" s="165"/>
      <c r="L82" s="186"/>
      <c r="M82" s="165"/>
      <c r="N82" s="165"/>
      <c r="O82" s="165"/>
      <c r="P82" s="165"/>
      <c r="Q82" s="165"/>
      <c r="W82" s="165"/>
    </row>
    <row r="83" spans="3:23" x14ac:dyDescent="0.2">
      <c r="J83" s="165"/>
      <c r="K83" s="165"/>
      <c r="L83" s="186"/>
      <c r="M83" s="165"/>
      <c r="N83" s="165"/>
      <c r="O83" s="165"/>
      <c r="P83" s="165"/>
      <c r="Q83" s="165"/>
      <c r="W83" s="165"/>
    </row>
    <row r="84" spans="3:23" x14ac:dyDescent="0.2">
      <c r="J84" s="165"/>
      <c r="K84" s="165"/>
      <c r="L84" s="186"/>
      <c r="M84" s="165"/>
      <c r="N84" s="165"/>
      <c r="O84" s="165"/>
      <c r="P84" s="165"/>
      <c r="Q84" s="165"/>
      <c r="W84" s="165"/>
    </row>
    <row r="85" spans="3:23" x14ac:dyDescent="0.2">
      <c r="J85" s="165"/>
      <c r="K85" s="165"/>
      <c r="L85" s="186"/>
      <c r="M85" s="165"/>
      <c r="N85" s="165"/>
      <c r="O85" s="165"/>
      <c r="P85" s="165"/>
      <c r="Q85" s="165"/>
      <c r="W85" s="165"/>
    </row>
    <row r="86" spans="3:23" x14ac:dyDescent="0.2">
      <c r="J86" s="165"/>
      <c r="K86" s="165"/>
      <c r="L86" s="186"/>
      <c r="M86" s="165"/>
      <c r="N86" s="165"/>
      <c r="O86" s="165"/>
      <c r="P86" s="165"/>
      <c r="Q86" s="165"/>
      <c r="W86" s="165"/>
    </row>
    <row r="87" spans="3:23" x14ac:dyDescent="0.2">
      <c r="J87" s="165"/>
      <c r="K87" s="165"/>
      <c r="L87" s="186"/>
      <c r="M87" s="165"/>
      <c r="N87" s="165"/>
      <c r="O87" s="165"/>
      <c r="P87" s="165"/>
      <c r="Q87" s="165"/>
      <c r="W87" s="165"/>
    </row>
    <row r="88" spans="3:23" ht="13.5" thickBot="1" x14ac:dyDescent="0.25">
      <c r="J88" s="165"/>
      <c r="K88" s="165"/>
      <c r="L88" s="186"/>
      <c r="M88" s="165"/>
      <c r="N88" s="165"/>
      <c r="O88" s="165"/>
      <c r="P88" s="165"/>
      <c r="W88" s="165"/>
    </row>
    <row r="89" spans="3:23" x14ac:dyDescent="0.2">
      <c r="C89" s="70" t="s">
        <v>146</v>
      </c>
      <c r="D89" s="71"/>
      <c r="E89" s="71"/>
      <c r="F89" s="72"/>
    </row>
    <row r="90" spans="3:23" x14ac:dyDescent="0.2">
      <c r="C90" s="73"/>
      <c r="F90" s="75"/>
    </row>
    <row r="91" spans="3:23" x14ac:dyDescent="0.2">
      <c r="C91" s="76" t="s">
        <v>59</v>
      </c>
      <c r="F91" s="75"/>
    </row>
    <row r="92" spans="3:23" x14ac:dyDescent="0.2">
      <c r="C92" s="77" t="s">
        <v>60</v>
      </c>
      <c r="F92" s="75"/>
    </row>
    <row r="93" spans="3:23" x14ac:dyDescent="0.2">
      <c r="C93" s="73"/>
      <c r="F93" s="75"/>
    </row>
    <row r="94" spans="3:23" ht="14.25" x14ac:dyDescent="0.2">
      <c r="C94" s="78" t="s">
        <v>56</v>
      </c>
      <c r="F94" s="75"/>
    </row>
    <row r="95" spans="3:23" ht="14.25" x14ac:dyDescent="0.2">
      <c r="C95" s="79" t="s">
        <v>57</v>
      </c>
      <c r="F95" s="75"/>
    </row>
    <row r="96" spans="3:23" ht="14.25" x14ac:dyDescent="0.2">
      <c r="C96" s="80" t="s">
        <v>58</v>
      </c>
      <c r="F96" s="75"/>
    </row>
    <row r="97" spans="3:7" x14ac:dyDescent="0.2">
      <c r="C97" s="73"/>
      <c r="F97" s="75"/>
    </row>
    <row r="98" spans="3:7" x14ac:dyDescent="0.2">
      <c r="C98" s="81" t="s">
        <v>64</v>
      </c>
      <c r="F98" s="75"/>
    </row>
    <row r="99" spans="3:7" x14ac:dyDescent="0.2">
      <c r="C99" s="82" t="s">
        <v>68</v>
      </c>
      <c r="F99" s="75"/>
    </row>
    <row r="100" spans="3:7" x14ac:dyDescent="0.2">
      <c r="C100" s="73"/>
      <c r="F100" s="75"/>
    </row>
    <row r="101" spans="3:7" x14ac:dyDescent="0.2">
      <c r="C101" s="76" t="s">
        <v>74</v>
      </c>
      <c r="F101" s="75"/>
    </row>
    <row r="102" spans="3:7" x14ac:dyDescent="0.2">
      <c r="C102" s="77" t="s">
        <v>75</v>
      </c>
      <c r="F102" s="75"/>
    </row>
    <row r="103" spans="3:7" x14ac:dyDescent="0.2">
      <c r="C103" s="73"/>
      <c r="F103" s="75"/>
    </row>
    <row r="104" spans="3:7" x14ac:dyDescent="0.2">
      <c r="C104" s="73"/>
      <c r="F104" s="75"/>
    </row>
    <row r="105" spans="3:7" x14ac:dyDescent="0.2">
      <c r="C105" s="358" t="s">
        <v>65</v>
      </c>
      <c r="D105" s="83">
        <v>2.8643000000000001</v>
      </c>
      <c r="E105" s="74">
        <v>588.42999999999995</v>
      </c>
      <c r="F105" s="359"/>
      <c r="G105" s="591" t="s">
        <v>292</v>
      </c>
    </row>
    <row r="106" spans="3:7" x14ac:dyDescent="0.2">
      <c r="C106" s="358" t="s">
        <v>66</v>
      </c>
      <c r="D106" s="83">
        <v>1.5461</v>
      </c>
      <c r="E106" s="74">
        <v>287.11</v>
      </c>
      <c r="F106" s="359"/>
      <c r="G106" s="591" t="s">
        <v>292</v>
      </c>
    </row>
    <row r="107" spans="3:7" x14ac:dyDescent="0.2">
      <c r="C107" s="358" t="s">
        <v>67</v>
      </c>
      <c r="D107" s="83">
        <v>2.1246999999999998</v>
      </c>
      <c r="E107" s="74">
        <v>375.99</v>
      </c>
      <c r="F107" s="359"/>
      <c r="G107" s="591" t="s">
        <v>292</v>
      </c>
    </row>
    <row r="108" spans="3:7" x14ac:dyDescent="0.2">
      <c r="C108" s="358" t="s">
        <v>69</v>
      </c>
      <c r="D108" s="83">
        <v>1.3994</v>
      </c>
      <c r="E108" s="74">
        <v>200.14</v>
      </c>
      <c r="F108" s="359"/>
      <c r="G108" s="591" t="s">
        <v>292</v>
      </c>
    </row>
    <row r="109" spans="3:7" x14ac:dyDescent="0.2">
      <c r="C109" s="362" t="s">
        <v>70</v>
      </c>
      <c r="D109" s="83">
        <v>3.0999999999999999E-3</v>
      </c>
      <c r="E109" s="84">
        <v>0.109</v>
      </c>
      <c r="F109" s="359">
        <v>381.5</v>
      </c>
      <c r="G109" s="591" t="s">
        <v>292</v>
      </c>
    </row>
    <row r="110" spans="3:7" x14ac:dyDescent="0.2">
      <c r="C110" s="362" t="s">
        <v>72</v>
      </c>
      <c r="D110" s="83">
        <v>1.9E-3</v>
      </c>
      <c r="E110" s="84">
        <v>0.22600000000000001</v>
      </c>
      <c r="F110" s="359">
        <v>282.5</v>
      </c>
      <c r="G110" s="591" t="s">
        <v>292</v>
      </c>
    </row>
    <row r="111" spans="3:7" x14ac:dyDescent="0.2">
      <c r="C111" s="362" t="s">
        <v>71</v>
      </c>
      <c r="D111" s="83">
        <v>1.4E-3</v>
      </c>
      <c r="E111" s="84">
        <v>0.35099999999999998</v>
      </c>
      <c r="F111" s="359">
        <v>175.5</v>
      </c>
      <c r="G111" s="591" t="s">
        <v>292</v>
      </c>
    </row>
    <row r="112" spans="3:7" x14ac:dyDescent="0.2">
      <c r="C112" s="358"/>
      <c r="F112" s="359"/>
      <c r="G112" s="591"/>
    </row>
    <row r="113" spans="3:7" x14ac:dyDescent="0.2">
      <c r="C113" s="358" t="s">
        <v>176</v>
      </c>
      <c r="D113" s="74">
        <v>58509</v>
      </c>
      <c r="E113" s="353">
        <v>-0.45400000000000001</v>
      </c>
      <c r="F113" s="363">
        <v>1</v>
      </c>
      <c r="G113" s="591" t="s">
        <v>292</v>
      </c>
    </row>
    <row r="114" spans="3:7" x14ac:dyDescent="0.2">
      <c r="C114" s="358" t="s">
        <v>175</v>
      </c>
      <c r="D114" s="74">
        <v>45507</v>
      </c>
      <c r="E114" s="353">
        <v>-0.45400000000000001</v>
      </c>
      <c r="F114" s="363">
        <v>1</v>
      </c>
      <c r="G114" s="591" t="s">
        <v>292</v>
      </c>
    </row>
    <row r="115" spans="3:7" x14ac:dyDescent="0.2">
      <c r="C115" s="358" t="s">
        <v>178</v>
      </c>
      <c r="D115" s="74">
        <v>39006</v>
      </c>
      <c r="E115" s="353">
        <v>-0.45400000000000001</v>
      </c>
      <c r="F115" s="363">
        <v>1</v>
      </c>
      <c r="G115" s="591" t="s">
        <v>292</v>
      </c>
    </row>
    <row r="116" spans="3:7" x14ac:dyDescent="0.2">
      <c r="C116" s="358" t="s">
        <v>177</v>
      </c>
      <c r="D116" s="74">
        <v>30338</v>
      </c>
      <c r="E116" s="353">
        <v>-0.45400000000000001</v>
      </c>
      <c r="F116" s="363">
        <v>1</v>
      </c>
      <c r="G116" s="591" t="s">
        <v>292</v>
      </c>
    </row>
    <row r="117" spans="3:7" x14ac:dyDescent="0.2">
      <c r="C117" s="423" t="s">
        <v>242</v>
      </c>
      <c r="D117" s="74">
        <v>39006</v>
      </c>
      <c r="E117" s="353">
        <v>-0.45400000000000001</v>
      </c>
      <c r="F117" s="363">
        <v>1</v>
      </c>
      <c r="G117" s="591" t="s">
        <v>292</v>
      </c>
    </row>
    <row r="118" spans="3:7" x14ac:dyDescent="0.2">
      <c r="C118" s="423" t="s">
        <v>241</v>
      </c>
      <c r="D118" s="74">
        <v>30338</v>
      </c>
      <c r="E118" s="353">
        <v>-0.45400000000000001</v>
      </c>
      <c r="F118" s="363">
        <v>1</v>
      </c>
      <c r="G118" s="591" t="s">
        <v>292</v>
      </c>
    </row>
    <row r="119" spans="3:7" x14ac:dyDescent="0.2">
      <c r="C119" s="364" t="s">
        <v>185</v>
      </c>
      <c r="D119" s="328">
        <v>58509</v>
      </c>
      <c r="E119" s="354">
        <v>-0.45400000000000001</v>
      </c>
      <c r="F119" s="365">
        <v>1</v>
      </c>
      <c r="G119" s="591" t="s">
        <v>292</v>
      </c>
    </row>
    <row r="120" spans="3:7" x14ac:dyDescent="0.2">
      <c r="C120" s="364" t="s">
        <v>186</v>
      </c>
      <c r="D120" s="328">
        <v>45507</v>
      </c>
      <c r="E120" s="354">
        <v>-0.45400000000000001</v>
      </c>
      <c r="F120" s="365">
        <v>1</v>
      </c>
      <c r="G120" s="591" t="s">
        <v>292</v>
      </c>
    </row>
    <row r="121" spans="3:7" x14ac:dyDescent="0.2">
      <c r="C121" s="364" t="s">
        <v>187</v>
      </c>
      <c r="D121" s="328">
        <v>39006</v>
      </c>
      <c r="E121" s="354">
        <v>-0.45400000000000001</v>
      </c>
      <c r="F121" s="365">
        <v>1</v>
      </c>
      <c r="G121" s="591" t="s">
        <v>292</v>
      </c>
    </row>
    <row r="122" spans="3:7" x14ac:dyDescent="0.2">
      <c r="C122" s="364" t="s">
        <v>188</v>
      </c>
      <c r="D122" s="328">
        <v>30338</v>
      </c>
      <c r="E122" s="354">
        <v>-0.45400000000000001</v>
      </c>
      <c r="F122" s="365">
        <v>1</v>
      </c>
      <c r="G122" s="591" t="s">
        <v>292</v>
      </c>
    </row>
    <row r="123" spans="3:7" x14ac:dyDescent="0.2">
      <c r="C123" s="422" t="s">
        <v>239</v>
      </c>
      <c r="D123" s="328">
        <v>11791</v>
      </c>
      <c r="E123" s="354">
        <v>-0.46300000000000002</v>
      </c>
      <c r="F123" s="365">
        <v>1.5</v>
      </c>
      <c r="G123" s="591" t="s">
        <v>292</v>
      </c>
    </row>
    <row r="124" spans="3:7" x14ac:dyDescent="0.2">
      <c r="C124" s="422" t="s">
        <v>240</v>
      </c>
      <c r="D124" s="328">
        <v>11791</v>
      </c>
      <c r="E124" s="354">
        <v>-0.46300000000000002</v>
      </c>
      <c r="F124" s="365">
        <v>1</v>
      </c>
      <c r="G124" s="591" t="s">
        <v>292</v>
      </c>
    </row>
    <row r="125" spans="3:7" x14ac:dyDescent="0.2">
      <c r="C125" s="423" t="s">
        <v>180</v>
      </c>
      <c r="D125" s="74">
        <v>58509</v>
      </c>
      <c r="E125" s="353">
        <v>-0.45400000000000001</v>
      </c>
      <c r="F125" s="363">
        <v>0.8</v>
      </c>
      <c r="G125" s="591" t="s">
        <v>292</v>
      </c>
    </row>
    <row r="126" spans="3:7" x14ac:dyDescent="0.2">
      <c r="C126" s="358" t="s">
        <v>179</v>
      </c>
      <c r="D126" s="74">
        <v>45507</v>
      </c>
      <c r="E126" s="353">
        <v>-0.45400000000000001</v>
      </c>
      <c r="F126" s="363">
        <v>0.8</v>
      </c>
      <c r="G126" s="591" t="s">
        <v>292</v>
      </c>
    </row>
    <row r="127" spans="3:7" x14ac:dyDescent="0.2">
      <c r="C127" s="358" t="s">
        <v>182</v>
      </c>
      <c r="D127" s="74">
        <v>39006</v>
      </c>
      <c r="E127" s="353">
        <v>-0.45400000000000001</v>
      </c>
      <c r="F127" s="363">
        <v>0.8</v>
      </c>
      <c r="G127" s="591" t="s">
        <v>292</v>
      </c>
    </row>
    <row r="128" spans="3:7" x14ac:dyDescent="0.2">
      <c r="C128" s="423" t="s">
        <v>181</v>
      </c>
      <c r="D128" s="74">
        <v>30338</v>
      </c>
      <c r="E128" s="353">
        <v>-0.45400000000000001</v>
      </c>
      <c r="F128" s="363">
        <v>0.8</v>
      </c>
      <c r="G128" s="591" t="s">
        <v>292</v>
      </c>
    </row>
    <row r="129" spans="3:7" x14ac:dyDescent="0.2">
      <c r="C129" s="424" t="s">
        <v>237</v>
      </c>
      <c r="D129" s="74">
        <v>11791</v>
      </c>
      <c r="E129" s="353">
        <v>-0.46300000000000002</v>
      </c>
      <c r="F129" s="363">
        <v>1.8</v>
      </c>
      <c r="G129" s="591" t="s">
        <v>292</v>
      </c>
    </row>
    <row r="130" spans="3:7" ht="13.5" thickBot="1" x14ac:dyDescent="0.25">
      <c r="C130" s="421" t="s">
        <v>238</v>
      </c>
      <c r="D130" s="366">
        <v>11791</v>
      </c>
      <c r="E130" s="367">
        <v>-0.46300000000000002</v>
      </c>
      <c r="F130" s="368">
        <v>1.2</v>
      </c>
      <c r="G130" s="591" t="s">
        <v>292</v>
      </c>
    </row>
    <row r="132" spans="3:7" x14ac:dyDescent="0.2">
      <c r="C132" s="612" t="s">
        <v>293</v>
      </c>
      <c r="D132" s="611">
        <f>SUM(D105:D130)</f>
        <v>636595.94090000005</v>
      </c>
      <c r="E132" s="611">
        <f t="shared" ref="E132:F132" si="28">SUM(E105:E130)</f>
        <v>1444.148000000001</v>
      </c>
      <c r="F132" s="611">
        <f t="shared" si="28"/>
        <v>858.19999999999982</v>
      </c>
    </row>
  </sheetData>
  <sheetProtection algorithmName="SHA-512" hashValue="zxGjgzfAcYfqPaYhD+HHhofiSmJV9Zun+tAEs5quCNqisAc62GYFVsRcnxupx0o+8gRA3+F1Ixo6V9BP2dxcCA==" saltValue="ilVkwuvzJkanBQQMNvnc3w==" spinCount="100000" sheet="1" objects="1" scenarios="1"/>
  <autoFilter ref="A3:AF130" xr:uid="{00000000-0009-0000-0000-000009000000}"/>
  <dataConsolidate/>
  <phoneticPr fontId="11" type="noConversion"/>
  <conditionalFormatting sqref="M7:N9">
    <cfRule type="containsText" dxfId="19" priority="23" operator="containsText" text="tatsächl.">
      <formula>NOT(ISERROR(SEARCH("tatsächl.",M7)))</formula>
    </cfRule>
    <cfRule type="containsText" dxfId="18" priority="24" operator="containsText" text="Richtwert">
      <formula>NOT(ISERROR(SEARCH("Richtwert",M7)))</formula>
    </cfRule>
  </conditionalFormatting>
  <conditionalFormatting sqref="M13:N24">
    <cfRule type="containsText" dxfId="17" priority="21" operator="containsText" text="tatsächl.">
      <formula>NOT(ISERROR(SEARCH("tatsächl.",M13)))</formula>
    </cfRule>
    <cfRule type="containsText" dxfId="16" priority="22" operator="containsText" text="Richtwert">
      <formula>NOT(ISERROR(SEARCH("Richtwert",M13)))</formula>
    </cfRule>
  </conditionalFormatting>
  <conditionalFormatting sqref="M27:N33">
    <cfRule type="containsText" dxfId="15" priority="19" operator="containsText" text="tatsächl.">
      <formula>NOT(ISERROR(SEARCH("tatsächl.",M27)))</formula>
    </cfRule>
    <cfRule type="containsText" dxfId="14" priority="20" operator="containsText" text="Richtwert">
      <formula>NOT(ISERROR(SEARCH("Richtwert",M27)))</formula>
    </cfRule>
  </conditionalFormatting>
  <conditionalFormatting sqref="M37:N39">
    <cfRule type="containsText" dxfId="13" priority="13" operator="containsText" text="tatsächl.">
      <formula>NOT(ISERROR(SEARCH("tatsächl.",M37)))</formula>
    </cfRule>
    <cfRule type="containsText" dxfId="12" priority="14" operator="containsText" text="Richtwert">
      <formula>NOT(ISERROR(SEARCH("Richtwert",M37)))</formula>
    </cfRule>
  </conditionalFormatting>
  <conditionalFormatting sqref="M43:N48">
    <cfRule type="containsText" dxfId="11" priority="11" operator="containsText" text="tatsächl.">
      <formula>NOT(ISERROR(SEARCH("tatsächl.",M43)))</formula>
    </cfRule>
    <cfRule type="containsText" dxfId="10" priority="12" operator="containsText" text="Richtwert">
      <formula>NOT(ISERROR(SEARCH("Richtwert",M43)))</formula>
    </cfRule>
  </conditionalFormatting>
  <conditionalFormatting sqref="U8:V9">
    <cfRule type="containsText" dxfId="9" priority="9" operator="containsText" text="tatsächl.">
      <formula>NOT(ISERROR(SEARCH("tatsächl.",U8)))</formula>
    </cfRule>
    <cfRule type="containsText" dxfId="8" priority="10" operator="containsText" text="Richtwert">
      <formula>NOT(ISERROR(SEARCH("Richtwert",U8)))</formula>
    </cfRule>
  </conditionalFormatting>
  <conditionalFormatting sqref="U13:V24">
    <cfRule type="containsText" dxfId="7" priority="7" operator="containsText" text="tatsächl.">
      <formula>NOT(ISERROR(SEARCH("tatsächl.",U13)))</formula>
    </cfRule>
    <cfRule type="containsText" dxfId="6" priority="8" operator="containsText" text="Richtwert">
      <formula>NOT(ISERROR(SEARCH("Richtwert",U13)))</formula>
    </cfRule>
  </conditionalFormatting>
  <conditionalFormatting sqref="U27:V33">
    <cfRule type="containsText" dxfId="5" priority="5" operator="containsText" text="tatsächl.">
      <formula>NOT(ISERROR(SEARCH("tatsächl.",U27)))</formula>
    </cfRule>
    <cfRule type="containsText" dxfId="4" priority="6" operator="containsText" text="Richtwert">
      <formula>NOT(ISERROR(SEARCH("Richtwert",U27)))</formula>
    </cfRule>
  </conditionalFormatting>
  <conditionalFormatting sqref="U37:V39">
    <cfRule type="containsText" dxfId="3" priority="3" operator="containsText" text="tatsächl.">
      <formula>NOT(ISERROR(SEARCH("tatsächl.",U37)))</formula>
    </cfRule>
    <cfRule type="containsText" dxfId="2" priority="4" operator="containsText" text="Richtwert">
      <formula>NOT(ISERROR(SEARCH("Richtwert",U37)))</formula>
    </cfRule>
  </conditionalFormatting>
  <conditionalFormatting sqref="U43:V48">
    <cfRule type="containsText" dxfId="1" priority="1" operator="containsText" text="tatsächl.">
      <formula>NOT(ISERROR(SEARCH("tatsächl.",U43)))</formula>
    </cfRule>
    <cfRule type="containsText" dxfId="0" priority="2" operator="containsText" text="Richtwert">
      <formula>NOT(ISERROR(SEARCH("Richtwert",U43)))</formula>
    </cfRule>
  </conditionalFormatting>
  <dataValidations disablePrompts="1" count="3">
    <dataValidation type="custom" allowBlank="1" showInputMessage="1" showErrorMessage="1" errorTitle="Tiel" sqref="AF40:AF41 AF13:AF24" xr:uid="{00000000-0002-0000-0900-000000000000}">
      <formula1>IF(AND(G13="Freispiegel",H13="Straße ländlich"),"",0)</formula1>
    </dataValidation>
    <dataValidation type="whole" operator="greaterThan" allowBlank="1" showInputMessage="1" showErrorMessage="1" errorTitle="titel" error="meldung" sqref="J13:J24" xr:uid="{00000000-0002-0000-0900-000001000000}">
      <formula1>0</formula1>
    </dataValidation>
    <dataValidation type="list" allowBlank="1" showInputMessage="1" showErrorMessage="1" sqref="O7 O43:O48 O13:O24 O27:O34" xr:uid="{00000000-0002-0000-0900-000002000000}">
      <formula1>$K$4:$L$4</formula1>
    </dataValidation>
  </dataValidations>
  <pageMargins left="0.59055118110236227" right="0.59055118110236227" top="0.98425196850393704" bottom="0.78740157480314965" header="0.78740157480314965" footer="0.59055118110236227"/>
  <pageSetup paperSize="9" scale="47" orientation="landscape" r:id="rId1"/>
  <headerFooter alignWithMargins="0">
    <oddHeader>&amp;R&amp;"Arial,Fett"&amp;8Jedele und Partner GmbH</oddHeader>
    <oddFooter>&amp;L&amp;6&amp;F   &amp;A   &amp;D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3185" r:id="rId4" name="Button 1">
              <controlPr defaultSize="0" print="0" autoFill="0" autoPict="0" macro="[0]!Zur_Eingabe_1">
                <anchor moveWithCells="1">
                  <from>
                    <xdr:col>45</xdr:col>
                    <xdr:colOff>152400</xdr:colOff>
                    <xdr:row>0</xdr:row>
                    <xdr:rowOff>152400</xdr:rowOff>
                  </from>
                  <to>
                    <xdr:col>46</xdr:col>
                    <xdr:colOff>600075</xdr:colOff>
                    <xdr:row>2</xdr:row>
                    <xdr:rowOff>57150</xdr:rowOff>
                  </to>
                </anchor>
              </controlPr>
            </control>
          </mc:Choice>
        </mc:AlternateContent>
        <mc:AlternateContent xmlns:mc="http://schemas.openxmlformats.org/markup-compatibility/2006">
          <mc:Choice Requires="x14">
            <control shapeId="93187" r:id="rId5" name="Button 3">
              <controlPr defaultSize="0" print="0" autoFill="0" autoPict="0" macro="[0]!Zum_Ergebnis">
                <anchor moveWithCells="1">
                  <from>
                    <xdr:col>59</xdr:col>
                    <xdr:colOff>342900</xdr:colOff>
                    <xdr:row>0</xdr:row>
                    <xdr:rowOff>152400</xdr:rowOff>
                  </from>
                  <to>
                    <xdr:col>60</xdr:col>
                    <xdr:colOff>762000</xdr:colOff>
                    <xdr:row>2</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4">
    <pageSetUpPr fitToPage="1"/>
  </sheetPr>
  <dimension ref="A1:BN127"/>
  <sheetViews>
    <sheetView showGridLines="0" zoomScale="85" zoomScaleNormal="85" workbookViewId="0">
      <pane xSplit="2" ySplit="5" topLeftCell="C6" activePane="bottomRight" state="frozen"/>
      <selection activeCell="L26" sqref="L26"/>
      <selection pane="topRight" activeCell="L26" sqref="L26"/>
      <selection pane="bottomLeft" activeCell="L26" sqref="L26"/>
      <selection pane="bottomRight" activeCell="D3" sqref="D3 B22"/>
    </sheetView>
  </sheetViews>
  <sheetFormatPr baseColWidth="10" defaultColWidth="10" defaultRowHeight="12" x14ac:dyDescent="0.2"/>
  <cols>
    <col min="1" max="1" width="7.375" style="1" bestFit="1" customWidth="1"/>
    <col min="2" max="2" width="5.375" style="1" bestFit="1" customWidth="1"/>
    <col min="3" max="3" width="8.625" style="11" bestFit="1" customWidth="1"/>
    <col min="4" max="4" width="7.75" style="11" bestFit="1" customWidth="1"/>
    <col min="5" max="5" width="9.25" style="11" bestFit="1" customWidth="1"/>
    <col min="6" max="6" width="9.125" style="11" customWidth="1"/>
    <col min="7" max="7" width="7.75" style="12" bestFit="1" customWidth="1"/>
    <col min="8" max="8" width="8.5" style="11" bestFit="1" customWidth="1"/>
    <col min="9" max="9" width="4.875" style="11" bestFit="1" customWidth="1"/>
    <col min="10" max="10" width="9.25" style="18" bestFit="1" customWidth="1"/>
    <col min="11" max="12" width="9.25" style="11" customWidth="1"/>
    <col min="13" max="13" width="10.75" style="12" bestFit="1" customWidth="1"/>
    <col min="14" max="14" width="10.75" style="515" customWidth="1"/>
    <col min="15" max="15" width="5.375" style="1" customWidth="1"/>
    <col min="16" max="16" width="9" style="11" customWidth="1"/>
    <col min="17" max="17" width="7.625" style="11" customWidth="1"/>
    <col min="18" max="19" width="9.125" style="11" customWidth="1"/>
    <col min="20" max="20" width="6.75" style="12" customWidth="1"/>
    <col min="21" max="21" width="8.375" style="11" customWidth="1"/>
    <col min="22" max="22" width="4.875" style="11" customWidth="1"/>
    <col min="23" max="23" width="8.875" style="18" customWidth="1"/>
    <col min="24" max="25" width="8.875" style="11" customWidth="1"/>
    <col min="26" max="26" width="10.75" style="12" customWidth="1"/>
    <col min="27" max="27" width="9.875" style="515" customWidth="1"/>
    <col min="28" max="28" width="5.375" style="1" bestFit="1" customWidth="1"/>
    <col min="29" max="29" width="8.625" style="11" bestFit="1" customWidth="1"/>
    <col min="30" max="30" width="7.75" style="11" bestFit="1" customWidth="1"/>
    <col min="31" max="31" width="9.25" style="11" bestFit="1" customWidth="1"/>
    <col min="32" max="32" width="9.125" style="11" customWidth="1"/>
    <col min="33" max="33" width="6.875" style="12" bestFit="1" customWidth="1"/>
    <col min="34" max="34" width="8.5" style="11" bestFit="1" customWidth="1"/>
    <col min="35" max="35" width="4.875" style="11" bestFit="1" customWidth="1"/>
    <col min="36" max="36" width="9.25" style="18" bestFit="1" customWidth="1"/>
    <col min="37" max="37" width="6.875" style="11" customWidth="1"/>
    <col min="38" max="38" width="9.25" style="11" customWidth="1"/>
    <col min="39" max="39" width="10.75" style="12" bestFit="1" customWidth="1"/>
    <col min="40" max="40" width="10.75" style="515" customWidth="1"/>
    <col min="41" max="41" width="5.375" style="1" bestFit="1" customWidth="1"/>
    <col min="42" max="42" width="8.625" style="11" bestFit="1" customWidth="1"/>
    <col min="43" max="43" width="7.75" style="11" bestFit="1" customWidth="1"/>
    <col min="44" max="44" width="9.25" style="11" bestFit="1" customWidth="1"/>
    <col min="45" max="45" width="9.125" style="11" customWidth="1"/>
    <col min="46" max="46" width="6.875" style="12" bestFit="1" customWidth="1"/>
    <col min="47" max="47" width="8.5" style="11" bestFit="1" customWidth="1"/>
    <col min="48" max="48" width="4.875" style="11" bestFit="1" customWidth="1"/>
    <col min="49" max="49" width="9.25" style="18" bestFit="1" customWidth="1"/>
    <col min="50" max="51" width="9.25" style="11" customWidth="1"/>
    <col min="52" max="52" width="10.75" style="12" bestFit="1" customWidth="1"/>
    <col min="53" max="53" width="10.75" style="515" customWidth="1"/>
    <col min="54" max="54" width="5.375" style="1" bestFit="1" customWidth="1"/>
    <col min="55" max="55" width="8.625" style="11" bestFit="1" customWidth="1"/>
    <col min="56" max="56" width="7.75" style="11" bestFit="1" customWidth="1"/>
    <col min="57" max="57" width="9.25" style="11" bestFit="1" customWidth="1"/>
    <col min="58" max="58" width="9.125" style="11" customWidth="1"/>
    <col min="59" max="59" width="6.875" style="12" bestFit="1" customWidth="1"/>
    <col min="60" max="60" width="8.5" style="11" bestFit="1" customWidth="1"/>
    <col min="61" max="61" width="4.875" style="11" bestFit="1" customWidth="1"/>
    <col min="62" max="62" width="9.25" style="18" bestFit="1" customWidth="1"/>
    <col min="63" max="64" width="9.25" style="11" customWidth="1"/>
    <col min="65" max="65" width="10.75" style="12" bestFit="1" customWidth="1"/>
    <col min="66" max="66" width="10.75" style="515" customWidth="1"/>
    <col min="67" max="16384" width="10" style="1"/>
  </cols>
  <sheetData>
    <row r="1" spans="1:66" x14ac:dyDescent="0.2">
      <c r="B1" s="2" t="str">
        <f>'Kosten Variante1'!G1</f>
        <v xml:space="preserve">Orts-KA </v>
      </c>
      <c r="C1" s="2"/>
      <c r="D1" s="3"/>
      <c r="E1" s="3"/>
      <c r="F1" s="3"/>
      <c r="G1" s="4"/>
      <c r="H1" s="3"/>
      <c r="I1" s="3"/>
      <c r="J1" s="5"/>
      <c r="K1" s="3"/>
      <c r="L1" s="3"/>
      <c r="M1" s="4"/>
      <c r="N1" s="523"/>
      <c r="O1" s="27" t="str">
        <f>'Kosten Variante2'!G1</f>
        <v xml:space="preserve">Überleitung </v>
      </c>
      <c r="P1" s="27"/>
      <c r="Q1" s="28"/>
      <c r="R1" s="28"/>
      <c r="S1" s="28"/>
      <c r="T1" s="29"/>
      <c r="U1" s="28"/>
      <c r="V1" s="28"/>
      <c r="W1" s="30"/>
      <c r="X1" s="28"/>
      <c r="Y1" s="28"/>
      <c r="Z1" s="29"/>
      <c r="AA1" s="520"/>
      <c r="AB1" s="6" t="str">
        <f>'Kosten Variante3'!G1</f>
        <v xml:space="preserve">Grundstk-KA </v>
      </c>
      <c r="AC1" s="6"/>
      <c r="AD1" s="7"/>
      <c r="AE1" s="7"/>
      <c r="AF1" s="7"/>
      <c r="AG1" s="8"/>
      <c r="AH1" s="7"/>
      <c r="AI1" s="7"/>
      <c r="AJ1" s="9"/>
      <c r="AK1" s="7"/>
      <c r="AL1" s="7"/>
      <c r="AM1" s="8"/>
      <c r="AN1" s="514"/>
      <c r="AO1" s="506" t="str">
        <f>'Kosten Variante4'!G1</f>
        <v>Text 4</v>
      </c>
      <c r="AP1" s="506"/>
      <c r="AQ1" s="507"/>
      <c r="AR1" s="507"/>
      <c r="AS1" s="507"/>
      <c r="AT1" s="508"/>
      <c r="AU1" s="507"/>
      <c r="AV1" s="507"/>
      <c r="AW1" s="509"/>
      <c r="AX1" s="507"/>
      <c r="AY1" s="507"/>
      <c r="AZ1" s="508"/>
      <c r="BA1" s="518"/>
      <c r="BB1" s="510" t="str">
        <f>'Kosten Variante5'!G1</f>
        <v>Text 5</v>
      </c>
      <c r="BC1" s="510"/>
      <c r="BD1" s="511"/>
      <c r="BE1" s="511"/>
      <c r="BF1" s="511"/>
      <c r="BG1" s="512"/>
      <c r="BH1" s="511"/>
      <c r="BI1" s="511"/>
      <c r="BJ1" s="513"/>
      <c r="BK1" s="511"/>
      <c r="BL1" s="511"/>
      <c r="BM1" s="512"/>
      <c r="BN1" s="519"/>
    </row>
    <row r="2" spans="1:66" x14ac:dyDescent="0.2">
      <c r="B2" s="10" t="s">
        <v>42</v>
      </c>
      <c r="C2" s="11" t="s">
        <v>43</v>
      </c>
      <c r="D2" s="11" t="s">
        <v>34</v>
      </c>
      <c r="G2" s="12" t="s">
        <v>44</v>
      </c>
      <c r="H2" s="11" t="s">
        <v>34</v>
      </c>
      <c r="I2" s="1"/>
      <c r="J2" s="13" t="s">
        <v>44</v>
      </c>
      <c r="K2" s="528" t="s">
        <v>260</v>
      </c>
      <c r="L2" s="576" t="s">
        <v>44</v>
      </c>
      <c r="M2" s="25" t="s">
        <v>1</v>
      </c>
      <c r="N2" s="515" t="s">
        <v>52</v>
      </c>
      <c r="O2" s="10" t="s">
        <v>42</v>
      </c>
      <c r="P2" s="11" t="s">
        <v>43</v>
      </c>
      <c r="Q2" s="11" t="s">
        <v>34</v>
      </c>
      <c r="T2" s="12" t="s">
        <v>44</v>
      </c>
      <c r="U2" s="11" t="s">
        <v>34</v>
      </c>
      <c r="V2" s="1"/>
      <c r="W2" s="13" t="s">
        <v>44</v>
      </c>
      <c r="X2" s="528" t="s">
        <v>260</v>
      </c>
      <c r="Y2" s="576" t="s">
        <v>44</v>
      </c>
      <c r="Z2" s="25" t="s">
        <v>1</v>
      </c>
      <c r="AA2" s="515" t="s">
        <v>52</v>
      </c>
      <c r="AB2" s="10" t="s">
        <v>42</v>
      </c>
      <c r="AC2" s="11" t="s">
        <v>43</v>
      </c>
      <c r="AD2" s="11" t="s">
        <v>34</v>
      </c>
      <c r="AG2" s="12" t="s">
        <v>44</v>
      </c>
      <c r="AH2" s="11" t="s">
        <v>34</v>
      </c>
      <c r="AI2" s="1"/>
      <c r="AJ2" s="13" t="s">
        <v>44</v>
      </c>
      <c r="AK2" s="528" t="s">
        <v>260</v>
      </c>
      <c r="AL2" s="576" t="s">
        <v>44</v>
      </c>
      <c r="AM2" s="12" t="s">
        <v>1</v>
      </c>
      <c r="AN2" s="515" t="s">
        <v>52</v>
      </c>
      <c r="AO2" s="10" t="s">
        <v>42</v>
      </c>
      <c r="AP2" s="11" t="s">
        <v>43</v>
      </c>
      <c r="AQ2" s="11" t="s">
        <v>34</v>
      </c>
      <c r="AT2" s="12" t="s">
        <v>44</v>
      </c>
      <c r="AU2" s="11" t="s">
        <v>34</v>
      </c>
      <c r="AV2" s="1"/>
      <c r="AW2" s="13" t="s">
        <v>44</v>
      </c>
      <c r="AX2" s="528" t="s">
        <v>260</v>
      </c>
      <c r="AY2" s="576" t="s">
        <v>44</v>
      </c>
      <c r="AZ2" s="12" t="s">
        <v>1</v>
      </c>
      <c r="BA2" s="515" t="s">
        <v>52</v>
      </c>
      <c r="BB2" s="10" t="s">
        <v>42</v>
      </c>
      <c r="BC2" s="11" t="s">
        <v>43</v>
      </c>
      <c r="BD2" s="11" t="s">
        <v>34</v>
      </c>
      <c r="BG2" s="12" t="s">
        <v>44</v>
      </c>
      <c r="BH2" s="11" t="s">
        <v>34</v>
      </c>
      <c r="BI2" s="1"/>
      <c r="BJ2" s="13" t="s">
        <v>44</v>
      </c>
      <c r="BK2" s="528" t="s">
        <v>260</v>
      </c>
      <c r="BL2" s="576" t="s">
        <v>44</v>
      </c>
      <c r="BM2" s="12" t="s">
        <v>1</v>
      </c>
      <c r="BN2" s="515" t="s">
        <v>52</v>
      </c>
    </row>
    <row r="3" spans="1:66" x14ac:dyDescent="0.2">
      <c r="C3" s="11" t="s">
        <v>45</v>
      </c>
      <c r="D3" s="64">
        <f>'Kosten Variante1'!$D$62/100</f>
        <v>0.03</v>
      </c>
      <c r="E3" s="14" t="s">
        <v>46</v>
      </c>
      <c r="F3" s="15" t="s">
        <v>47</v>
      </c>
      <c r="G3" s="12" t="s">
        <v>45</v>
      </c>
      <c r="H3" s="65">
        <f>D3</f>
        <v>0.03</v>
      </c>
      <c r="I3" s="10" t="s">
        <v>46</v>
      </c>
      <c r="J3" s="16"/>
      <c r="K3" s="528" t="s">
        <v>264</v>
      </c>
      <c r="L3" s="577"/>
      <c r="M3" s="24">
        <f>C1</f>
        <v>0</v>
      </c>
      <c r="N3" s="516">
        <f>Ergebnis!K16</f>
        <v>480</v>
      </c>
      <c r="P3" s="11" t="s">
        <v>45</v>
      </c>
      <c r="Q3" s="64">
        <f>'Kosten Variante2'!D62/100</f>
        <v>0.03</v>
      </c>
      <c r="R3" s="14" t="s">
        <v>46</v>
      </c>
      <c r="S3" s="15" t="s">
        <v>47</v>
      </c>
      <c r="T3" s="12" t="s">
        <v>45</v>
      </c>
      <c r="U3" s="65">
        <f>Q3</f>
        <v>0.03</v>
      </c>
      <c r="V3" s="10" t="s">
        <v>46</v>
      </c>
      <c r="W3" s="16"/>
      <c r="X3" s="528" t="s">
        <v>264</v>
      </c>
      <c r="Y3" s="577"/>
      <c r="Z3" s="24" t="str">
        <f>O1</f>
        <v xml:space="preserve">Überleitung </v>
      </c>
      <c r="AA3" s="516">
        <f>Ergebnis!L16</f>
        <v>540</v>
      </c>
      <c r="AC3" s="11" t="s">
        <v>45</v>
      </c>
      <c r="AD3" s="64">
        <f>'Kosten Variante3'!$D$62/100</f>
        <v>0.03</v>
      </c>
      <c r="AE3" s="14" t="s">
        <v>46</v>
      </c>
      <c r="AF3" s="15" t="s">
        <v>47</v>
      </c>
      <c r="AG3" s="12" t="s">
        <v>45</v>
      </c>
      <c r="AH3" s="65">
        <f>AD3</f>
        <v>0.03</v>
      </c>
      <c r="AI3" s="10" t="s">
        <v>46</v>
      </c>
      <c r="AJ3" s="16"/>
      <c r="AK3" s="528" t="s">
        <v>264</v>
      </c>
      <c r="AL3" s="577"/>
      <c r="AM3" s="24" t="str">
        <f>AB1</f>
        <v xml:space="preserve">Grundstk-KA </v>
      </c>
      <c r="AN3" s="516">
        <f>Ergebnis!M16</f>
        <v>400</v>
      </c>
      <c r="AP3" s="11" t="s">
        <v>45</v>
      </c>
      <c r="AQ3" s="64">
        <f>'Kosten Variante4'!$D$62/100</f>
        <v>0.03</v>
      </c>
      <c r="AR3" s="14" t="s">
        <v>46</v>
      </c>
      <c r="AS3" s="15" t="s">
        <v>47</v>
      </c>
      <c r="AT3" s="12" t="s">
        <v>45</v>
      </c>
      <c r="AU3" s="65">
        <f>AQ3</f>
        <v>0.03</v>
      </c>
      <c r="AV3" s="10" t="s">
        <v>46</v>
      </c>
      <c r="AW3" s="16"/>
      <c r="AX3" s="528" t="s">
        <v>264</v>
      </c>
      <c r="AY3" s="577"/>
      <c r="AZ3" s="24" t="str">
        <f>AO1</f>
        <v>Text 4</v>
      </c>
      <c r="BA3" s="516">
        <f>Ergebnis!N16</f>
        <v>430</v>
      </c>
      <c r="BC3" s="11" t="s">
        <v>45</v>
      </c>
      <c r="BD3" s="64">
        <f>'Kosten Variante3'!$D$62/100</f>
        <v>0.03</v>
      </c>
      <c r="BE3" s="14" t="s">
        <v>46</v>
      </c>
      <c r="BF3" s="15" t="s">
        <v>47</v>
      </c>
      <c r="BG3" s="12" t="s">
        <v>45</v>
      </c>
      <c r="BH3" s="65">
        <f>BD3</f>
        <v>0.03</v>
      </c>
      <c r="BI3" s="10" t="s">
        <v>46</v>
      </c>
      <c r="BJ3" s="16"/>
      <c r="BK3" s="528" t="s">
        <v>264</v>
      </c>
      <c r="BL3" s="577"/>
      <c r="BM3" s="24" t="str">
        <f>BB1</f>
        <v>Text 5</v>
      </c>
      <c r="BN3" s="516">
        <f>Ergebnis!O16</f>
        <v>340</v>
      </c>
    </row>
    <row r="4" spans="1:66" x14ac:dyDescent="0.2">
      <c r="B4" s="1" t="s">
        <v>48</v>
      </c>
      <c r="C4" s="11" t="s">
        <v>49</v>
      </c>
      <c r="E4" s="11" t="s">
        <v>49</v>
      </c>
      <c r="F4" s="11" t="s">
        <v>49</v>
      </c>
      <c r="G4" s="12" t="s">
        <v>50</v>
      </c>
      <c r="H4" s="65">
        <f>'Kosten Variante1'!$D$63/100</f>
        <v>0.02</v>
      </c>
      <c r="I4" s="17" t="s">
        <v>51</v>
      </c>
      <c r="J4" s="11" t="s">
        <v>50</v>
      </c>
      <c r="K4" s="528" t="s">
        <v>50</v>
      </c>
      <c r="L4" s="527" t="s">
        <v>50</v>
      </c>
      <c r="M4" s="25">
        <f>M106</f>
        <v>0</v>
      </c>
      <c r="O4" s="1" t="s">
        <v>48</v>
      </c>
      <c r="P4" s="11" t="s">
        <v>49</v>
      </c>
      <c r="R4" s="11" t="s">
        <v>49</v>
      </c>
      <c r="S4" s="11" t="s">
        <v>49</v>
      </c>
      <c r="T4" s="12" t="s">
        <v>50</v>
      </c>
      <c r="U4" s="65">
        <f>'Kosten Variante2'!D63/100</f>
        <v>0.02</v>
      </c>
      <c r="V4" s="17" t="s">
        <v>51</v>
      </c>
      <c r="W4" s="18" t="s">
        <v>50</v>
      </c>
      <c r="X4" s="528" t="s">
        <v>50</v>
      </c>
      <c r="Y4" s="527" t="s">
        <v>50</v>
      </c>
      <c r="Z4" s="25">
        <f>Z106</f>
        <v>0</v>
      </c>
      <c r="AB4" s="1" t="s">
        <v>48</v>
      </c>
      <c r="AC4" s="11" t="s">
        <v>49</v>
      </c>
      <c r="AE4" s="11" t="s">
        <v>49</v>
      </c>
      <c r="AF4" s="11" t="s">
        <v>49</v>
      </c>
      <c r="AG4" s="12" t="s">
        <v>50</v>
      </c>
      <c r="AH4" s="65">
        <f>'Kosten Variante3'!$D$63/100</f>
        <v>0.02</v>
      </c>
      <c r="AI4" s="17" t="s">
        <v>51</v>
      </c>
      <c r="AJ4" s="11" t="s">
        <v>50</v>
      </c>
      <c r="AK4" s="528" t="s">
        <v>50</v>
      </c>
      <c r="AL4" s="527" t="s">
        <v>50</v>
      </c>
      <c r="AM4" s="25">
        <f>AM106</f>
        <v>0</v>
      </c>
      <c r="AO4" s="1" t="s">
        <v>48</v>
      </c>
      <c r="AP4" s="11" t="s">
        <v>49</v>
      </c>
      <c r="AR4" s="11" t="s">
        <v>49</v>
      </c>
      <c r="AS4" s="11" t="s">
        <v>49</v>
      </c>
      <c r="AT4" s="12" t="s">
        <v>50</v>
      </c>
      <c r="AU4" s="65">
        <f>'Kosten Variante4'!$D$63/100</f>
        <v>0.02</v>
      </c>
      <c r="AV4" s="17" t="s">
        <v>51</v>
      </c>
      <c r="AW4" s="11" t="s">
        <v>50</v>
      </c>
      <c r="AX4" s="528" t="s">
        <v>50</v>
      </c>
      <c r="AY4" s="527" t="s">
        <v>50</v>
      </c>
      <c r="AZ4" s="25">
        <f>AZ106</f>
        <v>0</v>
      </c>
      <c r="BB4" s="1" t="s">
        <v>48</v>
      </c>
      <c r="BC4" s="11" t="s">
        <v>49</v>
      </c>
      <c r="BE4" s="11" t="s">
        <v>49</v>
      </c>
      <c r="BF4" s="11" t="s">
        <v>49</v>
      </c>
      <c r="BG4" s="12" t="s">
        <v>50</v>
      </c>
      <c r="BH4" s="65">
        <f>'Kosten Variante3'!$D$63/100</f>
        <v>0.02</v>
      </c>
      <c r="BI4" s="17" t="s">
        <v>51</v>
      </c>
      <c r="BJ4" s="11" t="s">
        <v>50</v>
      </c>
      <c r="BK4" s="528" t="s">
        <v>50</v>
      </c>
      <c r="BL4" s="527" t="s">
        <v>50</v>
      </c>
      <c r="BM4" s="25">
        <f>BM106</f>
        <v>0</v>
      </c>
    </row>
    <row r="6" spans="1:66" x14ac:dyDescent="0.2">
      <c r="A6" s="19">
        <v>2009</v>
      </c>
      <c r="B6" s="1">
        <v>0</v>
      </c>
      <c r="C6" s="63">
        <f>'Kosten Variante1'!M65</f>
        <v>0</v>
      </c>
      <c r="D6" s="20">
        <f>1/(1+D$3)^B6</f>
        <v>1</v>
      </c>
      <c r="E6" s="11">
        <f t="shared" ref="E6:E37" si="0">C6*D6</f>
        <v>0</v>
      </c>
      <c r="F6" s="11">
        <f>E6</f>
        <v>0</v>
      </c>
      <c r="G6" s="66">
        <f>'Kosten Variante1'!U71</f>
        <v>0</v>
      </c>
      <c r="H6" s="20">
        <f>IF(H$3=H$4,B6,(1+H$4)*(((1+H$3)^B6-(1+H$4)^B6)/((1+H$3)^B6*(H$3-H$4))))</f>
        <v>0</v>
      </c>
      <c r="J6" s="18">
        <f>G6*H6</f>
        <v>0</v>
      </c>
      <c r="K6" s="66">
        <f>'Kosten Variante1'!U58</f>
        <v>0</v>
      </c>
      <c r="L6" s="11">
        <f>H6*K6</f>
        <v>0</v>
      </c>
      <c r="M6" s="12">
        <f>F6+J6+L6</f>
        <v>0</v>
      </c>
      <c r="N6" s="517" t="e">
        <f>N$3/M6*1000</f>
        <v>#DIV/0!</v>
      </c>
      <c r="O6" s="1">
        <v>0</v>
      </c>
      <c r="P6" s="63">
        <f>'Kosten Variante2'!M65</f>
        <v>0</v>
      </c>
      <c r="Q6" s="20">
        <f>1/(1+Q$3)^O6</f>
        <v>1</v>
      </c>
      <c r="R6" s="11">
        <f t="shared" ref="R6:R37" si="1">P6*Q6</f>
        <v>0</v>
      </c>
      <c r="S6" s="11">
        <f>R6</f>
        <v>0</v>
      </c>
      <c r="T6" s="66">
        <f>'Kosten Variante2'!U71</f>
        <v>0</v>
      </c>
      <c r="U6" s="21">
        <f>IF(U$3=U$4,O6,(1+U$4)*(((1+U$3)^O6-(1+U$4)^O6)/((1+U$3)^O6*(U$3-U$4))))</f>
        <v>0</v>
      </c>
      <c r="W6" s="18">
        <f>T6*U6</f>
        <v>0</v>
      </c>
      <c r="X6" s="66">
        <f>'Kosten Variante2'!U58</f>
        <v>0</v>
      </c>
      <c r="Y6" s="11">
        <f>U6*X6</f>
        <v>0</v>
      </c>
      <c r="Z6" s="12">
        <f>S6+W6+Y6</f>
        <v>0</v>
      </c>
      <c r="AA6" s="517" t="e">
        <f>AA$3/Z6*1000</f>
        <v>#DIV/0!</v>
      </c>
      <c r="AB6" s="1">
        <v>0</v>
      </c>
      <c r="AC6" s="63">
        <f>'Kosten Variante3'!M65</f>
        <v>0</v>
      </c>
      <c r="AD6" s="20">
        <f>1/(1+AD$3)^AB6</f>
        <v>1</v>
      </c>
      <c r="AE6" s="11">
        <f t="shared" ref="AE6:AE37" si="2">AC6*AD6</f>
        <v>0</v>
      </c>
      <c r="AF6" s="11">
        <f>AE6</f>
        <v>0</v>
      </c>
      <c r="AG6" s="66">
        <f>'Kosten Variante3'!U71</f>
        <v>0</v>
      </c>
      <c r="AH6" s="21">
        <f>IF(AH$3=AH$4,AB6,(1+AH$4)*(((1+AH$3)^AB6-(1+AH$4)^AB6)/((1+AH$3)^AB6*(AH$3-AH$4))))</f>
        <v>0</v>
      </c>
      <c r="AJ6" s="18">
        <f>AG6*AH6</f>
        <v>0</v>
      </c>
      <c r="AK6" s="63">
        <f>'Kosten Variante3'!U58</f>
        <v>0</v>
      </c>
      <c r="AL6" s="18">
        <f>AH6*AK6</f>
        <v>0</v>
      </c>
      <c r="AM6" s="12">
        <f>AF6+AJ6+AL6</f>
        <v>0</v>
      </c>
      <c r="AN6" s="517" t="e">
        <f>AN$3/AM6*1000</f>
        <v>#DIV/0!</v>
      </c>
      <c r="AO6" s="1">
        <v>0</v>
      </c>
      <c r="AP6" s="63">
        <f>'Kosten Variante4'!M65</f>
        <v>0</v>
      </c>
      <c r="AQ6" s="20">
        <f>1/(1+AQ$3)^AO6</f>
        <v>1</v>
      </c>
      <c r="AR6" s="11">
        <f t="shared" ref="AR6:AR69" si="3">AP6*AQ6</f>
        <v>0</v>
      </c>
      <c r="AS6" s="11">
        <f>AR6</f>
        <v>0</v>
      </c>
      <c r="AT6" s="66">
        <f>'Kosten Variante4'!U71</f>
        <v>0</v>
      </c>
      <c r="AU6" s="21">
        <f>IF(AU$3=AU$4,AO6,(1+AU$4)*(((1+AU$3)^AO6-(1+AU$4)^AO6)/((1+AU$3)^AO6*(AU$3-AU$4))))</f>
        <v>0</v>
      </c>
      <c r="AW6" s="18">
        <f>AT6*AU6</f>
        <v>0</v>
      </c>
      <c r="AX6" s="11">
        <f>'Kosten Variante4'!U58</f>
        <v>0</v>
      </c>
      <c r="AY6" s="11">
        <f>AU6*AX6</f>
        <v>0</v>
      </c>
      <c r="AZ6" s="12">
        <f>AS6+AW6+AY6</f>
        <v>0</v>
      </c>
      <c r="BA6" s="517" t="e">
        <f>BA$3/AZ6*1000</f>
        <v>#DIV/0!</v>
      </c>
      <c r="BB6" s="1">
        <v>0</v>
      </c>
      <c r="BC6" s="63">
        <f>'Kosten Variante5'!M65</f>
        <v>0</v>
      </c>
      <c r="BD6" s="20">
        <f>1/(1+BD$3)^BB6</f>
        <v>1</v>
      </c>
      <c r="BE6" s="11">
        <f t="shared" ref="BE6:BE69" si="4">BC6*BD6</f>
        <v>0</v>
      </c>
      <c r="BF6" s="11">
        <f>BE6</f>
        <v>0</v>
      </c>
      <c r="BG6" s="66">
        <f>'Kosten Variante5'!U71</f>
        <v>0</v>
      </c>
      <c r="BH6" s="21">
        <f>IF(BH$3=BH$4,BB6,(1+BH$4)*(((1+BH$3)^BB6-(1+BH$4)^BB6)/((1+BH$3)^BB6*(BH$3-BH$4))))</f>
        <v>0</v>
      </c>
      <c r="BJ6" s="18">
        <f>BG6*BH6</f>
        <v>0</v>
      </c>
      <c r="BK6" s="11">
        <f>'Kosten Variante5'!U58</f>
        <v>0</v>
      </c>
      <c r="BL6" s="11">
        <f>BH6*BK6</f>
        <v>0</v>
      </c>
      <c r="BM6" s="12">
        <f>BF6+BJ6+BL6</f>
        <v>0</v>
      </c>
      <c r="BN6" s="517" t="e">
        <f>BN$3/BM6*1000</f>
        <v>#DIV/0!</v>
      </c>
    </row>
    <row r="7" spans="1:66" x14ac:dyDescent="0.2">
      <c r="C7" s="63"/>
      <c r="D7" s="20"/>
      <c r="E7" s="11">
        <f t="shared" si="0"/>
        <v>0</v>
      </c>
      <c r="F7" s="11">
        <f t="shared" ref="F7:F38" si="5">F6+E7</f>
        <v>0</v>
      </c>
      <c r="H7" s="20"/>
      <c r="N7" s="517"/>
      <c r="P7" s="63"/>
      <c r="Q7" s="20"/>
      <c r="R7" s="11">
        <f t="shared" si="1"/>
        <v>0</v>
      </c>
      <c r="S7" s="11">
        <f t="shared" ref="S7:S38" si="6">S6+R7</f>
        <v>0</v>
      </c>
      <c r="U7" s="21"/>
      <c r="AA7" s="517"/>
      <c r="AC7" s="63"/>
      <c r="AD7" s="20"/>
      <c r="AE7" s="11">
        <f t="shared" si="2"/>
        <v>0</v>
      </c>
      <c r="AF7" s="11">
        <f t="shared" ref="AF7:AF38" si="7">AF6+AE7</f>
        <v>0</v>
      </c>
      <c r="AH7" s="20"/>
      <c r="AN7" s="517"/>
      <c r="AP7" s="63"/>
      <c r="AQ7" s="20"/>
      <c r="AR7" s="11">
        <f t="shared" si="3"/>
        <v>0</v>
      </c>
      <c r="AS7" s="11">
        <f t="shared" ref="AS7:AS70" si="8">AS6+AR7</f>
        <v>0</v>
      </c>
      <c r="AU7" s="20"/>
      <c r="BA7" s="517"/>
      <c r="BC7" s="63"/>
      <c r="BD7" s="20"/>
      <c r="BE7" s="11">
        <f t="shared" si="4"/>
        <v>0</v>
      </c>
      <c r="BF7" s="11">
        <f t="shared" ref="BF7:BF70" si="9">BF6+BE7</f>
        <v>0</v>
      </c>
      <c r="BH7" s="20"/>
      <c r="BN7" s="517"/>
    </row>
    <row r="8" spans="1:66" x14ac:dyDescent="0.2">
      <c r="A8" s="1">
        <f>A6+1</f>
        <v>2010</v>
      </c>
      <c r="B8" s="1">
        <f>B6+1</f>
        <v>1</v>
      </c>
      <c r="C8" s="63"/>
      <c r="D8" s="20">
        <f>1/(1+D$3)^B8</f>
        <v>0.970873786407767</v>
      </c>
      <c r="E8" s="11">
        <f t="shared" si="0"/>
        <v>0</v>
      </c>
      <c r="F8" s="11">
        <f t="shared" si="5"/>
        <v>0</v>
      </c>
      <c r="G8" s="12">
        <f>G$6</f>
        <v>0</v>
      </c>
      <c r="H8" s="20">
        <f>IF(H$3=H$4,B8,(1+H$4)*(((1+H$3)^B8-(1+H$4)^B8)/((1+H$3)^B8*(H$3-H$4))))</f>
        <v>0.99029126213592333</v>
      </c>
      <c r="J8" s="18">
        <f>G8*H8</f>
        <v>0</v>
      </c>
      <c r="K8" s="11">
        <f>K6</f>
        <v>0</v>
      </c>
      <c r="L8" s="11">
        <f t="shared" ref="L8" si="10">H8*K8</f>
        <v>0</v>
      </c>
      <c r="M8" s="12">
        <f t="shared" ref="M8" si="11">F8+J8+L8</f>
        <v>0</v>
      </c>
      <c r="N8" s="517" t="e">
        <f t="shared" ref="N8:N70" si="12">N$3/M8*1000</f>
        <v>#DIV/0!</v>
      </c>
      <c r="O8" s="1">
        <f>O6+1</f>
        <v>1</v>
      </c>
      <c r="P8" s="63"/>
      <c r="Q8" s="20">
        <f>1/(1+Q$3)^O8</f>
        <v>0.970873786407767</v>
      </c>
      <c r="R8" s="11">
        <f t="shared" si="1"/>
        <v>0</v>
      </c>
      <c r="S8" s="11">
        <f t="shared" si="6"/>
        <v>0</v>
      </c>
      <c r="T8" s="12">
        <f>T$6</f>
        <v>0</v>
      </c>
      <c r="U8" s="21">
        <f>IF(U$3=U$4,O8,(1+U$4)*(((1+U$3)^O8-(1+U$4)^O8)/((1+U$3)^O8*(U$3-U$4))))</f>
        <v>0.99029126213592333</v>
      </c>
      <c r="W8" s="18">
        <f>T8*U8</f>
        <v>0</v>
      </c>
      <c r="X8" s="11">
        <f>X6</f>
        <v>0</v>
      </c>
      <c r="Y8" s="11">
        <f t="shared" ref="Y8" si="13">U8*X8</f>
        <v>0</v>
      </c>
      <c r="Z8" s="12">
        <f t="shared" ref="Z8" si="14">S8+W8+Y8</f>
        <v>0</v>
      </c>
      <c r="AA8" s="517" t="e">
        <f t="shared" ref="AA8:AA70" si="15">AA$3/Z8*1000</f>
        <v>#DIV/0!</v>
      </c>
      <c r="AB8" s="1">
        <f>AB6+1</f>
        <v>1</v>
      </c>
      <c r="AC8" s="63"/>
      <c r="AD8" s="20">
        <f>1/(1+AD$3)^AB8</f>
        <v>0.970873786407767</v>
      </c>
      <c r="AE8" s="11">
        <f t="shared" si="2"/>
        <v>0</v>
      </c>
      <c r="AF8" s="11">
        <f t="shared" si="7"/>
        <v>0</v>
      </c>
      <c r="AG8" s="12">
        <f>AG$6</f>
        <v>0</v>
      </c>
      <c r="AH8" s="21">
        <f>IF(AH$3=AH$4,AB8,(1+AH$4)*(((1+AH$3)^AB8-(1+AH$4)^AB8)/((1+AH$3)^AB8*(AH$3-AH$4))))</f>
        <v>0.99029126213592333</v>
      </c>
      <c r="AJ8" s="18">
        <f>AG8*AH8</f>
        <v>0</v>
      </c>
      <c r="AK8" s="11">
        <f>AK6</f>
        <v>0</v>
      </c>
      <c r="AL8" s="18">
        <f t="shared" ref="AL8" si="16">AH8*AK8</f>
        <v>0</v>
      </c>
      <c r="AM8" s="12">
        <f>AF8+AJ8+AL8</f>
        <v>0</v>
      </c>
      <c r="AN8" s="517" t="e">
        <f t="shared" ref="AN8:AN70" si="17">AN$3/AM8*1000</f>
        <v>#DIV/0!</v>
      </c>
      <c r="AO8" s="1">
        <f>AO6+1</f>
        <v>1</v>
      </c>
      <c r="AP8" s="63"/>
      <c r="AQ8" s="20">
        <f>1/(1+AQ$3)^AO8</f>
        <v>0.970873786407767</v>
      </c>
      <c r="AR8" s="11">
        <f t="shared" si="3"/>
        <v>0</v>
      </c>
      <c r="AS8" s="11">
        <f t="shared" si="8"/>
        <v>0</v>
      </c>
      <c r="AT8" s="12">
        <f>AT$6</f>
        <v>0</v>
      </c>
      <c r="AU8" s="21">
        <f>IF(AU$3=AU$4,AO8,(1+AU$4)*(((1+AU$3)^AO8-(1+AU$4)^AO8)/((1+AU$3)^AO8*(AU$3-AU$4))))</f>
        <v>0.99029126213592333</v>
      </c>
      <c r="AW8" s="18">
        <f>AT8*AU8</f>
        <v>0</v>
      </c>
      <c r="AX8" s="11">
        <f>AX6</f>
        <v>0</v>
      </c>
      <c r="AY8" s="11">
        <f t="shared" ref="AY8" si="18">AU8*AX8</f>
        <v>0</v>
      </c>
      <c r="AZ8" s="12">
        <f t="shared" ref="AZ8" si="19">AS8+AW8+AY8</f>
        <v>0</v>
      </c>
      <c r="BA8" s="517" t="e">
        <f t="shared" ref="BA8" si="20">BA$3/AZ8*1000</f>
        <v>#DIV/0!</v>
      </c>
      <c r="BB8" s="1">
        <f>BB6+1</f>
        <v>1</v>
      </c>
      <c r="BC8" s="63"/>
      <c r="BD8" s="20">
        <f>1/(1+BD$3)^BB8</f>
        <v>0.970873786407767</v>
      </c>
      <c r="BE8" s="11">
        <f t="shared" si="4"/>
        <v>0</v>
      </c>
      <c r="BF8" s="11">
        <f t="shared" si="9"/>
        <v>0</v>
      </c>
      <c r="BG8" s="12">
        <f>BG$6</f>
        <v>0</v>
      </c>
      <c r="BH8" s="21">
        <f>IF(BH$3=BH$4,BB8,(1+BH$4)*(((1+BH$3)^BB8-(1+BH$4)^BB8)/((1+BH$3)^BB8*(BH$3-BH$4))))</f>
        <v>0.99029126213592333</v>
      </c>
      <c r="BJ8" s="18">
        <f>BG8*BH8</f>
        <v>0</v>
      </c>
      <c r="BK8" s="11">
        <f>BK6</f>
        <v>0</v>
      </c>
      <c r="BL8" s="11">
        <f t="shared" ref="BL8" si="21">BH8*BK8</f>
        <v>0</v>
      </c>
      <c r="BM8" s="12">
        <f t="shared" ref="BM8" si="22">BF8+BJ8+BL8</f>
        <v>0</v>
      </c>
      <c r="BN8" s="517" t="e">
        <f t="shared" ref="BN8" si="23">BN$3/BM8*1000</f>
        <v>#DIV/0!</v>
      </c>
    </row>
    <row r="9" spans="1:66" x14ac:dyDescent="0.2">
      <c r="C9" s="63"/>
      <c r="D9" s="20"/>
      <c r="E9" s="11">
        <f t="shared" si="0"/>
        <v>0</v>
      </c>
      <c r="F9" s="11">
        <f t="shared" si="5"/>
        <v>0</v>
      </c>
      <c r="H9" s="20"/>
      <c r="N9" s="517"/>
      <c r="P9" s="63"/>
      <c r="Q9" s="20"/>
      <c r="R9" s="11">
        <f t="shared" si="1"/>
        <v>0</v>
      </c>
      <c r="S9" s="11">
        <f t="shared" si="6"/>
        <v>0</v>
      </c>
      <c r="U9" s="21"/>
      <c r="AA9" s="517"/>
      <c r="AC9" s="63"/>
      <c r="AD9" s="20"/>
      <c r="AE9" s="11">
        <f t="shared" si="2"/>
        <v>0</v>
      </c>
      <c r="AF9" s="11">
        <f t="shared" si="7"/>
        <v>0</v>
      </c>
      <c r="AH9" s="20"/>
      <c r="AN9" s="517"/>
      <c r="AP9" s="63"/>
      <c r="AQ9" s="20"/>
      <c r="AR9" s="11">
        <f t="shared" si="3"/>
        <v>0</v>
      </c>
      <c r="AS9" s="11">
        <f t="shared" si="8"/>
        <v>0</v>
      </c>
      <c r="AU9" s="20"/>
      <c r="BA9" s="517"/>
      <c r="BC9" s="63"/>
      <c r="BD9" s="20"/>
      <c r="BE9" s="11">
        <f t="shared" si="4"/>
        <v>0</v>
      </c>
      <c r="BF9" s="11">
        <f t="shared" si="9"/>
        <v>0</v>
      </c>
      <c r="BH9" s="20"/>
      <c r="BN9" s="517"/>
    </row>
    <row r="10" spans="1:66" x14ac:dyDescent="0.2">
      <c r="A10" s="1">
        <f>A8+1</f>
        <v>2011</v>
      </c>
      <c r="B10" s="1">
        <f>B8+1</f>
        <v>2</v>
      </c>
      <c r="C10" s="63"/>
      <c r="D10" s="20">
        <f>1/(1+D$3)^B10</f>
        <v>0.94259590913375435</v>
      </c>
      <c r="E10" s="11">
        <f t="shared" si="0"/>
        <v>0</v>
      </c>
      <c r="F10" s="11">
        <f t="shared" si="5"/>
        <v>0</v>
      </c>
      <c r="G10" s="12">
        <f>G$6</f>
        <v>0</v>
      </c>
      <c r="H10" s="20">
        <f>IF(H$3=H$4,B10,(1+H$4)*(((1+H$3)^B10-(1+H$4)^B10)/((1+H$3)^B10*(H$3-H$4))))</f>
        <v>1.9709680459986771</v>
      </c>
      <c r="J10" s="18">
        <f>G10*H10</f>
        <v>0</v>
      </c>
      <c r="K10" s="11">
        <f t="shared" ref="K10" si="24">K8</f>
        <v>0</v>
      </c>
      <c r="L10" s="11">
        <f t="shared" ref="L10" si="25">H10*K10</f>
        <v>0</v>
      </c>
      <c r="M10" s="12">
        <f t="shared" ref="M10" si="26">F10+J10+L10</f>
        <v>0</v>
      </c>
      <c r="N10" s="517" t="e">
        <f t="shared" si="12"/>
        <v>#DIV/0!</v>
      </c>
      <c r="O10" s="1">
        <f>O8+1</f>
        <v>2</v>
      </c>
      <c r="P10" s="63"/>
      <c r="Q10" s="20">
        <f>1/(1+Q$3)^O10</f>
        <v>0.94259590913375435</v>
      </c>
      <c r="R10" s="11">
        <f t="shared" si="1"/>
        <v>0</v>
      </c>
      <c r="S10" s="11">
        <f t="shared" si="6"/>
        <v>0</v>
      </c>
      <c r="T10" s="12">
        <f>T$6</f>
        <v>0</v>
      </c>
      <c r="U10" s="21">
        <f>IF(U$3=U$4,O10,(1+U$4)*(((1+U$3)^O10-(1+U$4)^O10)/((1+U$3)^O10*(U$3-U$4))))</f>
        <v>1.9709680459986771</v>
      </c>
      <c r="W10" s="18">
        <f>T10*U10</f>
        <v>0</v>
      </c>
      <c r="X10" s="11">
        <f t="shared" ref="X10" si="27">X8</f>
        <v>0</v>
      </c>
      <c r="Y10" s="11">
        <f t="shared" ref="Y10" si="28">U10*X10</f>
        <v>0</v>
      </c>
      <c r="Z10" s="12">
        <f t="shared" ref="Z10" si="29">S10+W10+Y10</f>
        <v>0</v>
      </c>
      <c r="AA10" s="517" t="e">
        <f t="shared" si="15"/>
        <v>#DIV/0!</v>
      </c>
      <c r="AB10" s="1">
        <f>AB8+1</f>
        <v>2</v>
      </c>
      <c r="AC10" s="63"/>
      <c r="AD10" s="20">
        <f>1/(1+AD$3)^AB10</f>
        <v>0.94259590913375435</v>
      </c>
      <c r="AE10" s="11">
        <f t="shared" si="2"/>
        <v>0</v>
      </c>
      <c r="AF10" s="11">
        <f t="shared" si="7"/>
        <v>0</v>
      </c>
      <c r="AG10" s="12">
        <f>AG$6</f>
        <v>0</v>
      </c>
      <c r="AH10" s="21">
        <f>IF(AH$3=AH$4,AB10,(1+AH$4)*(((1+AH$3)^AB10-(1+AH$4)^AB10)/((1+AH$3)^AB10*(AH$3-AH$4))))</f>
        <v>1.9709680459986771</v>
      </c>
      <c r="AJ10" s="18">
        <f>AG10*AH10</f>
        <v>0</v>
      </c>
      <c r="AK10" s="11">
        <f t="shared" ref="AK10" si="30">AK8</f>
        <v>0</v>
      </c>
      <c r="AL10" s="18">
        <f t="shared" ref="AL10" si="31">AH10*AK10</f>
        <v>0</v>
      </c>
      <c r="AM10" s="12">
        <f t="shared" ref="AM10" si="32">AF10+AJ10+AL10</f>
        <v>0</v>
      </c>
      <c r="AN10" s="517" t="e">
        <f t="shared" si="17"/>
        <v>#DIV/0!</v>
      </c>
      <c r="AO10" s="1">
        <f>AO8+1</f>
        <v>2</v>
      </c>
      <c r="AP10" s="63"/>
      <c r="AQ10" s="20">
        <f>1/(1+AQ$3)^AO10</f>
        <v>0.94259590913375435</v>
      </c>
      <c r="AR10" s="11">
        <f t="shared" si="3"/>
        <v>0</v>
      </c>
      <c r="AS10" s="11">
        <f t="shared" si="8"/>
        <v>0</v>
      </c>
      <c r="AT10" s="12">
        <f>AT$6</f>
        <v>0</v>
      </c>
      <c r="AU10" s="21">
        <f>IF(AU$3=AU$4,AO10,(1+AU$4)*(((1+AU$3)^AO10-(1+AU$4)^AO10)/((1+AU$3)^AO10*(AU$3-AU$4))))</f>
        <v>1.9709680459986771</v>
      </c>
      <c r="AW10" s="18">
        <f>AT10*AU10</f>
        <v>0</v>
      </c>
      <c r="AX10" s="11">
        <f t="shared" ref="AX10" si="33">AX8</f>
        <v>0</v>
      </c>
      <c r="AY10" s="11">
        <f t="shared" ref="AY10" si="34">AU10*AX10</f>
        <v>0</v>
      </c>
      <c r="AZ10" s="12">
        <f t="shared" ref="AZ10" si="35">AS10+AW10+AY10</f>
        <v>0</v>
      </c>
      <c r="BA10" s="517" t="e">
        <f t="shared" ref="BA10" si="36">BA$3/AZ10*1000</f>
        <v>#DIV/0!</v>
      </c>
      <c r="BB10" s="1">
        <f>BB8+1</f>
        <v>2</v>
      </c>
      <c r="BC10" s="63"/>
      <c r="BD10" s="20">
        <f>1/(1+BD$3)^BB10</f>
        <v>0.94259590913375435</v>
      </c>
      <c r="BE10" s="11">
        <f t="shared" si="4"/>
        <v>0</v>
      </c>
      <c r="BF10" s="11">
        <f t="shared" si="9"/>
        <v>0</v>
      </c>
      <c r="BG10" s="12">
        <f>BG$6</f>
        <v>0</v>
      </c>
      <c r="BH10" s="21">
        <f>IF(BH$3=BH$4,BB10,(1+BH$4)*(((1+BH$3)^BB10-(1+BH$4)^BB10)/((1+BH$3)^BB10*(BH$3-BH$4))))</f>
        <v>1.9709680459986771</v>
      </c>
      <c r="BJ10" s="18">
        <f>BG10*BH10</f>
        <v>0</v>
      </c>
      <c r="BK10" s="11">
        <f t="shared" ref="BK10" si="37">BK8</f>
        <v>0</v>
      </c>
      <c r="BL10" s="11">
        <f t="shared" ref="BL10" si="38">BH10*BK10</f>
        <v>0</v>
      </c>
      <c r="BM10" s="12">
        <f t="shared" ref="BM10" si="39">BF10+BJ10+BL10</f>
        <v>0</v>
      </c>
      <c r="BN10" s="517" t="e">
        <f t="shared" ref="BN10" si="40">BN$3/BM10*1000</f>
        <v>#DIV/0!</v>
      </c>
    </row>
    <row r="11" spans="1:66" x14ac:dyDescent="0.2">
      <c r="C11" s="63"/>
      <c r="D11" s="20"/>
      <c r="E11" s="11">
        <f t="shared" si="0"/>
        <v>0</v>
      </c>
      <c r="F11" s="11">
        <f t="shared" si="5"/>
        <v>0</v>
      </c>
      <c r="H11" s="20"/>
      <c r="N11" s="517"/>
      <c r="P11" s="63"/>
      <c r="Q11" s="20"/>
      <c r="R11" s="11">
        <f t="shared" si="1"/>
        <v>0</v>
      </c>
      <c r="S11" s="11">
        <f t="shared" si="6"/>
        <v>0</v>
      </c>
      <c r="U11" s="21"/>
      <c r="AA11" s="517"/>
      <c r="AC11" s="63"/>
      <c r="AD11" s="20"/>
      <c r="AE11" s="11">
        <f t="shared" si="2"/>
        <v>0</v>
      </c>
      <c r="AF11" s="11">
        <f t="shared" si="7"/>
        <v>0</v>
      </c>
      <c r="AH11" s="20"/>
      <c r="AN11" s="517"/>
      <c r="AP11" s="63"/>
      <c r="AQ11" s="20"/>
      <c r="AR11" s="11">
        <f t="shared" si="3"/>
        <v>0</v>
      </c>
      <c r="AS11" s="11">
        <f t="shared" si="8"/>
        <v>0</v>
      </c>
      <c r="AU11" s="20"/>
      <c r="BA11" s="517"/>
      <c r="BC11" s="63"/>
      <c r="BD11" s="20"/>
      <c r="BE11" s="11">
        <f t="shared" si="4"/>
        <v>0</v>
      </c>
      <c r="BF11" s="11">
        <f t="shared" si="9"/>
        <v>0</v>
      </c>
      <c r="BH11" s="20"/>
      <c r="BN11" s="517"/>
    </row>
    <row r="12" spans="1:66" x14ac:dyDescent="0.2">
      <c r="A12" s="1">
        <f>A10+1</f>
        <v>2012</v>
      </c>
      <c r="B12" s="1">
        <f>B10+1</f>
        <v>3</v>
      </c>
      <c r="C12" s="63"/>
      <c r="D12" s="20">
        <f>1/(1+D$3)^B12</f>
        <v>0.91514165935315961</v>
      </c>
      <c r="E12" s="11">
        <f t="shared" si="0"/>
        <v>0</v>
      </c>
      <c r="F12" s="11">
        <f t="shared" si="5"/>
        <v>0</v>
      </c>
      <c r="G12" s="12">
        <f>G$6</f>
        <v>0</v>
      </c>
      <c r="H12" s="20">
        <f>IF(H$3=H$4,B12,(1+H$4)*(((1+H$3)^B12-(1+H$4)^B12)/((1+H$3)^B12*(H$3-H$4))))</f>
        <v>2.9421236960375357</v>
      </c>
      <c r="J12" s="18">
        <f>G12*H12</f>
        <v>0</v>
      </c>
      <c r="K12" s="11">
        <f t="shared" ref="K12" si="41">K10</f>
        <v>0</v>
      </c>
      <c r="L12" s="11">
        <f t="shared" ref="L12" si="42">H12*K12</f>
        <v>0</v>
      </c>
      <c r="M12" s="12">
        <f t="shared" ref="M12" si="43">F12+J12+L12</f>
        <v>0</v>
      </c>
      <c r="N12" s="517" t="e">
        <f t="shared" si="12"/>
        <v>#DIV/0!</v>
      </c>
      <c r="O12" s="1">
        <f>O10+1</f>
        <v>3</v>
      </c>
      <c r="P12" s="63"/>
      <c r="Q12" s="20">
        <f>1/(1+Q$3)^O12</f>
        <v>0.91514165935315961</v>
      </c>
      <c r="R12" s="11">
        <f t="shared" si="1"/>
        <v>0</v>
      </c>
      <c r="S12" s="11">
        <f t="shared" si="6"/>
        <v>0</v>
      </c>
      <c r="T12" s="12">
        <f>T$6</f>
        <v>0</v>
      </c>
      <c r="U12" s="21">
        <f>IF(U$3=U$4,O12,(1+U$4)*(((1+U$3)^O12-(1+U$4)^O12)/((1+U$3)^O12*(U$3-U$4))))</f>
        <v>2.9421236960375357</v>
      </c>
      <c r="W12" s="18">
        <f>T12*U12</f>
        <v>0</v>
      </c>
      <c r="X12" s="11">
        <f t="shared" ref="X12" si="44">X10</f>
        <v>0</v>
      </c>
      <c r="Y12" s="11">
        <f t="shared" ref="Y12" si="45">U12*X12</f>
        <v>0</v>
      </c>
      <c r="Z12" s="12">
        <f t="shared" ref="Z12" si="46">S12+W12+Y12</f>
        <v>0</v>
      </c>
      <c r="AA12" s="517" t="e">
        <f t="shared" si="15"/>
        <v>#DIV/0!</v>
      </c>
      <c r="AB12" s="1">
        <f>AB10+1</f>
        <v>3</v>
      </c>
      <c r="AC12" s="63"/>
      <c r="AD12" s="20">
        <f>1/(1+AD$3)^AB12</f>
        <v>0.91514165935315961</v>
      </c>
      <c r="AE12" s="11">
        <f t="shared" si="2"/>
        <v>0</v>
      </c>
      <c r="AF12" s="11">
        <f t="shared" si="7"/>
        <v>0</v>
      </c>
      <c r="AG12" s="12">
        <f>AG$6</f>
        <v>0</v>
      </c>
      <c r="AH12" s="21">
        <f>IF(AH$3=AH$4,AB12,(1+AH$4)*(((1+AH$3)^AB12-(1+AH$4)^AB12)/((1+AH$3)^AB12*(AH$3-AH$4))))</f>
        <v>2.9421236960375357</v>
      </c>
      <c r="AJ12" s="18">
        <f>AG12*AH12</f>
        <v>0</v>
      </c>
      <c r="AK12" s="11">
        <f t="shared" ref="AK12" si="47">AK10</f>
        <v>0</v>
      </c>
      <c r="AL12" s="18">
        <f t="shared" ref="AL12" si="48">AH12*AK12</f>
        <v>0</v>
      </c>
      <c r="AM12" s="12">
        <f t="shared" ref="AM12" si="49">AF12+AJ12+AL12</f>
        <v>0</v>
      </c>
      <c r="AN12" s="517" t="e">
        <f t="shared" si="17"/>
        <v>#DIV/0!</v>
      </c>
      <c r="AO12" s="1">
        <f>AO10+1</f>
        <v>3</v>
      </c>
      <c r="AP12" s="63"/>
      <c r="AQ12" s="20">
        <f>1/(1+AQ$3)^AO12</f>
        <v>0.91514165935315961</v>
      </c>
      <c r="AR12" s="11">
        <f t="shared" si="3"/>
        <v>0</v>
      </c>
      <c r="AS12" s="11">
        <f t="shared" si="8"/>
        <v>0</v>
      </c>
      <c r="AT12" s="12">
        <f>AT$6</f>
        <v>0</v>
      </c>
      <c r="AU12" s="21">
        <f>IF(AU$3=AU$4,AO12,(1+AU$4)*(((1+AU$3)^AO12-(1+AU$4)^AO12)/((1+AU$3)^AO12*(AU$3-AU$4))))</f>
        <v>2.9421236960375357</v>
      </c>
      <c r="AW12" s="18">
        <f>AT12*AU12</f>
        <v>0</v>
      </c>
      <c r="AX12" s="11">
        <f t="shared" ref="AX12" si="50">AX10</f>
        <v>0</v>
      </c>
      <c r="AY12" s="11">
        <f t="shared" ref="AY12" si="51">AU12*AX12</f>
        <v>0</v>
      </c>
      <c r="AZ12" s="12">
        <f t="shared" ref="AZ12" si="52">AS12+AW12+AY12</f>
        <v>0</v>
      </c>
      <c r="BA12" s="517" t="e">
        <f t="shared" ref="BA12" si="53">BA$3/AZ12*1000</f>
        <v>#DIV/0!</v>
      </c>
      <c r="BB12" s="1">
        <f>BB10+1</f>
        <v>3</v>
      </c>
      <c r="BC12" s="63"/>
      <c r="BD12" s="20">
        <f>1/(1+BD$3)^BB12</f>
        <v>0.91514165935315961</v>
      </c>
      <c r="BE12" s="11">
        <f t="shared" si="4"/>
        <v>0</v>
      </c>
      <c r="BF12" s="11">
        <f t="shared" si="9"/>
        <v>0</v>
      </c>
      <c r="BG12" s="12">
        <f>BG$6</f>
        <v>0</v>
      </c>
      <c r="BH12" s="21">
        <f>IF(BH$3=BH$4,BB12,(1+BH$4)*(((1+BH$3)^BB12-(1+BH$4)^BB12)/((1+BH$3)^BB12*(BH$3-BH$4))))</f>
        <v>2.9421236960375357</v>
      </c>
      <c r="BJ12" s="18">
        <f>BG12*BH12</f>
        <v>0</v>
      </c>
      <c r="BK12" s="11">
        <f t="shared" ref="BK12" si="54">BK10</f>
        <v>0</v>
      </c>
      <c r="BL12" s="11">
        <f t="shared" ref="BL12" si="55">BH12*BK12</f>
        <v>0</v>
      </c>
      <c r="BM12" s="12">
        <f t="shared" ref="BM12" si="56">BF12+BJ12+BL12</f>
        <v>0</v>
      </c>
      <c r="BN12" s="517" t="e">
        <f t="shared" ref="BN12" si="57">BN$3/BM12*1000</f>
        <v>#DIV/0!</v>
      </c>
    </row>
    <row r="13" spans="1:66" x14ac:dyDescent="0.2">
      <c r="C13" s="63"/>
      <c r="D13" s="20"/>
      <c r="E13" s="11">
        <f t="shared" si="0"/>
        <v>0</v>
      </c>
      <c r="F13" s="11">
        <f t="shared" si="5"/>
        <v>0</v>
      </c>
      <c r="H13" s="20"/>
      <c r="N13" s="517"/>
      <c r="P13" s="63"/>
      <c r="Q13" s="20"/>
      <c r="R13" s="11">
        <f t="shared" si="1"/>
        <v>0</v>
      </c>
      <c r="S13" s="11">
        <f t="shared" si="6"/>
        <v>0</v>
      </c>
      <c r="U13" s="21"/>
      <c r="AA13" s="517"/>
      <c r="AC13" s="63"/>
      <c r="AD13" s="20"/>
      <c r="AE13" s="11">
        <f t="shared" si="2"/>
        <v>0</v>
      </c>
      <c r="AF13" s="11">
        <f t="shared" si="7"/>
        <v>0</v>
      </c>
      <c r="AH13" s="20"/>
      <c r="AN13" s="517"/>
      <c r="AP13" s="63"/>
      <c r="AQ13" s="20"/>
      <c r="AR13" s="11">
        <f t="shared" si="3"/>
        <v>0</v>
      </c>
      <c r="AS13" s="11">
        <f t="shared" si="8"/>
        <v>0</v>
      </c>
      <c r="AU13" s="20"/>
      <c r="BA13" s="517"/>
      <c r="BC13" s="63"/>
      <c r="BD13" s="20"/>
      <c r="BE13" s="11">
        <f t="shared" si="4"/>
        <v>0</v>
      </c>
      <c r="BF13" s="11">
        <f t="shared" si="9"/>
        <v>0</v>
      </c>
      <c r="BH13" s="20"/>
      <c r="BN13" s="517"/>
    </row>
    <row r="14" spans="1:66" x14ac:dyDescent="0.2">
      <c r="A14" s="1">
        <f>A12+1</f>
        <v>2013</v>
      </c>
      <c r="B14" s="1">
        <f>B12+1</f>
        <v>4</v>
      </c>
      <c r="C14" s="63"/>
      <c r="D14" s="20">
        <f>1/(1+D$3)^B14</f>
        <v>0.888487047915689</v>
      </c>
      <c r="E14" s="11">
        <f t="shared" si="0"/>
        <v>0</v>
      </c>
      <c r="F14" s="11">
        <f t="shared" si="5"/>
        <v>0</v>
      </c>
      <c r="G14" s="12">
        <f>G$6</f>
        <v>0</v>
      </c>
      <c r="H14" s="20">
        <f>IF(H$3=H$4,B14,(1+H$4)*(((1+H$3)^B14-(1+H$4)^B14)/((1+H$3)^B14*(H$3-H$4))))</f>
        <v>3.9038506504449257</v>
      </c>
      <c r="J14" s="18">
        <f>G14*H14</f>
        <v>0</v>
      </c>
      <c r="K14" s="11">
        <f t="shared" ref="K14" si="58">K12</f>
        <v>0</v>
      </c>
      <c r="L14" s="11">
        <f t="shared" ref="L14" si="59">H14*K14</f>
        <v>0</v>
      </c>
      <c r="M14" s="12">
        <f t="shared" ref="M14" si="60">F14+J14+L14</f>
        <v>0</v>
      </c>
      <c r="N14" s="517" t="e">
        <f t="shared" si="12"/>
        <v>#DIV/0!</v>
      </c>
      <c r="O14" s="1">
        <f>O12+1</f>
        <v>4</v>
      </c>
      <c r="P14" s="63"/>
      <c r="Q14" s="20">
        <f>1/(1+Q$3)^O14</f>
        <v>0.888487047915689</v>
      </c>
      <c r="R14" s="11">
        <f t="shared" si="1"/>
        <v>0</v>
      </c>
      <c r="S14" s="11">
        <f t="shared" si="6"/>
        <v>0</v>
      </c>
      <c r="T14" s="12">
        <f>T$6</f>
        <v>0</v>
      </c>
      <c r="U14" s="21">
        <f>IF(U$3=U$4,O14,(1+U$4)*(((1+U$3)^O14-(1+U$4)^O14)/((1+U$3)^O14*(U$3-U$4))))</f>
        <v>3.9038506504449257</v>
      </c>
      <c r="W14" s="18">
        <f>T14*U14</f>
        <v>0</v>
      </c>
      <c r="X14" s="11">
        <f t="shared" ref="X14" si="61">X12</f>
        <v>0</v>
      </c>
      <c r="Y14" s="11">
        <f t="shared" ref="Y14" si="62">U14*X14</f>
        <v>0</v>
      </c>
      <c r="Z14" s="12">
        <f t="shared" ref="Z14" si="63">S14+W14+Y14</f>
        <v>0</v>
      </c>
      <c r="AA14" s="517" t="e">
        <f t="shared" si="15"/>
        <v>#DIV/0!</v>
      </c>
      <c r="AB14" s="1">
        <f>AB12+1</f>
        <v>4</v>
      </c>
      <c r="AC14" s="63"/>
      <c r="AD14" s="20">
        <f>1/(1+AD$3)^AB14</f>
        <v>0.888487047915689</v>
      </c>
      <c r="AE14" s="11">
        <f t="shared" si="2"/>
        <v>0</v>
      </c>
      <c r="AF14" s="11">
        <f t="shared" si="7"/>
        <v>0</v>
      </c>
      <c r="AG14" s="12">
        <f>AG$6</f>
        <v>0</v>
      </c>
      <c r="AH14" s="21">
        <f>IF(AH$3=AH$4,AB14,(1+AH$4)*(((1+AH$3)^AB14-(1+AH$4)^AB14)/((1+AH$3)^AB14*(AH$3-AH$4))))</f>
        <v>3.9038506504449257</v>
      </c>
      <c r="AJ14" s="18">
        <f>AG14*AH14</f>
        <v>0</v>
      </c>
      <c r="AK14" s="11">
        <f t="shared" ref="AK14" si="64">AK12</f>
        <v>0</v>
      </c>
      <c r="AL14" s="18">
        <f t="shared" ref="AL14" si="65">AH14*AK14</f>
        <v>0</v>
      </c>
      <c r="AM14" s="12">
        <f t="shared" ref="AM14" si="66">AF14+AJ14+AL14</f>
        <v>0</v>
      </c>
      <c r="AN14" s="517" t="e">
        <f t="shared" si="17"/>
        <v>#DIV/0!</v>
      </c>
      <c r="AO14" s="1">
        <f>AO12+1</f>
        <v>4</v>
      </c>
      <c r="AP14" s="63"/>
      <c r="AQ14" s="20">
        <f>1/(1+AQ$3)^AO14</f>
        <v>0.888487047915689</v>
      </c>
      <c r="AR14" s="11">
        <f t="shared" si="3"/>
        <v>0</v>
      </c>
      <c r="AS14" s="11">
        <f t="shared" si="8"/>
        <v>0</v>
      </c>
      <c r="AT14" s="12">
        <f>AT$6</f>
        <v>0</v>
      </c>
      <c r="AU14" s="21">
        <f>IF(AU$3=AU$4,AO14,(1+AU$4)*(((1+AU$3)^AO14-(1+AU$4)^AO14)/((1+AU$3)^AO14*(AU$3-AU$4))))</f>
        <v>3.9038506504449257</v>
      </c>
      <c r="AW14" s="18">
        <f>AT14*AU14</f>
        <v>0</v>
      </c>
      <c r="AX14" s="11">
        <f t="shared" ref="AX14" si="67">AX12</f>
        <v>0</v>
      </c>
      <c r="AY14" s="11">
        <f t="shared" ref="AY14" si="68">AU14*AX14</f>
        <v>0</v>
      </c>
      <c r="AZ14" s="12">
        <f t="shared" ref="AZ14" si="69">AS14+AW14+AY14</f>
        <v>0</v>
      </c>
      <c r="BA14" s="517" t="e">
        <f t="shared" ref="BA14" si="70">BA$3/AZ14*1000</f>
        <v>#DIV/0!</v>
      </c>
      <c r="BB14" s="1">
        <f>BB12+1</f>
        <v>4</v>
      </c>
      <c r="BC14" s="63"/>
      <c r="BD14" s="20">
        <f>1/(1+BD$3)^BB14</f>
        <v>0.888487047915689</v>
      </c>
      <c r="BE14" s="11">
        <f t="shared" si="4"/>
        <v>0</v>
      </c>
      <c r="BF14" s="11">
        <f t="shared" si="9"/>
        <v>0</v>
      </c>
      <c r="BG14" s="12">
        <f>BG$6</f>
        <v>0</v>
      </c>
      <c r="BH14" s="21">
        <f>IF(BH$3=BH$4,BB14,(1+BH$4)*(((1+BH$3)^BB14-(1+BH$4)^BB14)/((1+BH$3)^BB14*(BH$3-BH$4))))</f>
        <v>3.9038506504449257</v>
      </c>
      <c r="BJ14" s="18">
        <f>BG14*BH14</f>
        <v>0</v>
      </c>
      <c r="BK14" s="11">
        <f t="shared" ref="BK14" si="71">BK12</f>
        <v>0</v>
      </c>
      <c r="BL14" s="11">
        <f t="shared" ref="BL14" si="72">BH14*BK14</f>
        <v>0</v>
      </c>
      <c r="BM14" s="12">
        <f t="shared" ref="BM14" si="73">BF14+BJ14+BL14</f>
        <v>0</v>
      </c>
      <c r="BN14" s="517" t="e">
        <f t="shared" ref="BN14" si="74">BN$3/BM14*1000</f>
        <v>#DIV/0!</v>
      </c>
    </row>
    <row r="15" spans="1:66" x14ac:dyDescent="0.2">
      <c r="C15" s="63"/>
      <c r="D15" s="20"/>
      <c r="E15" s="11">
        <f t="shared" si="0"/>
        <v>0</v>
      </c>
      <c r="F15" s="11">
        <f t="shared" si="5"/>
        <v>0</v>
      </c>
      <c r="H15" s="20"/>
      <c r="N15" s="517"/>
      <c r="P15" s="63"/>
      <c r="Q15" s="20"/>
      <c r="R15" s="11">
        <f t="shared" si="1"/>
        <v>0</v>
      </c>
      <c r="S15" s="11">
        <f t="shared" si="6"/>
        <v>0</v>
      </c>
      <c r="U15" s="21"/>
      <c r="AA15" s="517"/>
      <c r="AC15" s="63"/>
      <c r="AD15" s="20"/>
      <c r="AE15" s="11">
        <f t="shared" si="2"/>
        <v>0</v>
      </c>
      <c r="AF15" s="11">
        <f t="shared" si="7"/>
        <v>0</v>
      </c>
      <c r="AH15" s="20"/>
      <c r="AN15" s="517"/>
      <c r="AP15" s="63"/>
      <c r="AQ15" s="20"/>
      <c r="AR15" s="11">
        <f t="shared" si="3"/>
        <v>0</v>
      </c>
      <c r="AS15" s="11">
        <f t="shared" si="8"/>
        <v>0</v>
      </c>
      <c r="AU15" s="20"/>
      <c r="BA15" s="517"/>
      <c r="BC15" s="63"/>
      <c r="BD15" s="20"/>
      <c r="BE15" s="11">
        <f t="shared" si="4"/>
        <v>0</v>
      </c>
      <c r="BF15" s="11">
        <f t="shared" si="9"/>
        <v>0</v>
      </c>
      <c r="BH15" s="20"/>
      <c r="BN15" s="517"/>
    </row>
    <row r="16" spans="1:66" x14ac:dyDescent="0.2">
      <c r="A16" s="1">
        <f>A14+1</f>
        <v>2014</v>
      </c>
      <c r="B16" s="1">
        <f>B14+1</f>
        <v>5</v>
      </c>
      <c r="C16" s="63"/>
      <c r="D16" s="20">
        <f>1/(1+D$3)^B16</f>
        <v>0.86260878438416411</v>
      </c>
      <c r="E16" s="11">
        <f t="shared" si="0"/>
        <v>0</v>
      </c>
      <c r="F16" s="11">
        <f t="shared" si="5"/>
        <v>0</v>
      </c>
      <c r="G16" s="12">
        <f>G$6</f>
        <v>0</v>
      </c>
      <c r="H16" s="20">
        <f>IF(H$3=H$4,B16,(1+H$4)*(((1+H$3)^B16-(1+H$4)^B16)/((1+H$3)^B16*(H$3-H$4))))</f>
        <v>4.8562404499551608</v>
      </c>
      <c r="J16" s="18">
        <f>G16*H16</f>
        <v>0</v>
      </c>
      <c r="K16" s="11">
        <f t="shared" ref="K16" si="75">K14</f>
        <v>0</v>
      </c>
      <c r="L16" s="11">
        <f t="shared" ref="L16" si="76">H16*K16</f>
        <v>0</v>
      </c>
      <c r="M16" s="12">
        <f t="shared" ref="M16" si="77">F16+J16+L16</f>
        <v>0</v>
      </c>
      <c r="N16" s="517" t="e">
        <f t="shared" si="12"/>
        <v>#DIV/0!</v>
      </c>
      <c r="O16" s="1">
        <f>O14+1</f>
        <v>5</v>
      </c>
      <c r="P16" s="63"/>
      <c r="Q16" s="20">
        <f>1/(1+Q$3)^O16</f>
        <v>0.86260878438416411</v>
      </c>
      <c r="R16" s="11">
        <f t="shared" si="1"/>
        <v>0</v>
      </c>
      <c r="S16" s="11">
        <f t="shared" si="6"/>
        <v>0</v>
      </c>
      <c r="T16" s="12">
        <f>T$6</f>
        <v>0</v>
      </c>
      <c r="U16" s="21">
        <f>IF(U$3=U$4,O16,(1+U$4)*(((1+U$3)^O16-(1+U$4)^O16)/((1+U$3)^O16*(U$3-U$4))))</f>
        <v>4.8562404499551608</v>
      </c>
      <c r="W16" s="18">
        <f>T16*U16</f>
        <v>0</v>
      </c>
      <c r="X16" s="11">
        <f t="shared" ref="X16" si="78">X14</f>
        <v>0</v>
      </c>
      <c r="Y16" s="11">
        <f t="shared" ref="Y16" si="79">U16*X16</f>
        <v>0</v>
      </c>
      <c r="Z16" s="12">
        <f t="shared" ref="Z16" si="80">S16+W16+Y16</f>
        <v>0</v>
      </c>
      <c r="AA16" s="517" t="e">
        <f t="shared" si="15"/>
        <v>#DIV/0!</v>
      </c>
      <c r="AB16" s="1">
        <f>AB14+1</f>
        <v>5</v>
      </c>
      <c r="AC16" s="63"/>
      <c r="AD16" s="20">
        <f>1/(1+AD$3)^AB16</f>
        <v>0.86260878438416411</v>
      </c>
      <c r="AE16" s="11">
        <f t="shared" si="2"/>
        <v>0</v>
      </c>
      <c r="AF16" s="11">
        <f t="shared" si="7"/>
        <v>0</v>
      </c>
      <c r="AG16" s="12">
        <f>AG$6</f>
        <v>0</v>
      </c>
      <c r="AH16" s="21">
        <f>IF(AH$3=AH$4,AB16,(1+AH$4)*(((1+AH$3)^AB16-(1+AH$4)^AB16)/((1+AH$3)^AB16*(AH$3-AH$4))))</f>
        <v>4.8562404499551608</v>
      </c>
      <c r="AJ16" s="18">
        <f>AG16*AH16</f>
        <v>0</v>
      </c>
      <c r="AK16" s="11">
        <f t="shared" ref="AK16" si="81">AK14</f>
        <v>0</v>
      </c>
      <c r="AL16" s="18">
        <f t="shared" ref="AL16" si="82">AH16*AK16</f>
        <v>0</v>
      </c>
      <c r="AM16" s="12">
        <f t="shared" ref="AM16" si="83">AF16+AJ16+AL16</f>
        <v>0</v>
      </c>
      <c r="AN16" s="517" t="e">
        <f t="shared" si="17"/>
        <v>#DIV/0!</v>
      </c>
      <c r="AO16" s="1">
        <f>AO14+1</f>
        <v>5</v>
      </c>
      <c r="AP16" s="63"/>
      <c r="AQ16" s="20">
        <f>1/(1+AQ$3)^AO16</f>
        <v>0.86260878438416411</v>
      </c>
      <c r="AR16" s="11">
        <f t="shared" si="3"/>
        <v>0</v>
      </c>
      <c r="AS16" s="11">
        <f t="shared" si="8"/>
        <v>0</v>
      </c>
      <c r="AT16" s="12">
        <f>AT$6</f>
        <v>0</v>
      </c>
      <c r="AU16" s="21">
        <f>IF(AU$3=AU$4,AO16,(1+AU$4)*(((1+AU$3)^AO16-(1+AU$4)^AO16)/((1+AU$3)^AO16*(AU$3-AU$4))))</f>
        <v>4.8562404499551608</v>
      </c>
      <c r="AW16" s="18">
        <f>AT16*AU16</f>
        <v>0</v>
      </c>
      <c r="AX16" s="11">
        <f t="shared" ref="AX16" si="84">AX14</f>
        <v>0</v>
      </c>
      <c r="AY16" s="11">
        <f t="shared" ref="AY16" si="85">AU16*AX16</f>
        <v>0</v>
      </c>
      <c r="AZ16" s="12">
        <f t="shared" ref="AZ16" si="86">AS16+AW16+AY16</f>
        <v>0</v>
      </c>
      <c r="BA16" s="517" t="e">
        <f t="shared" ref="BA16" si="87">BA$3/AZ16*1000</f>
        <v>#DIV/0!</v>
      </c>
      <c r="BB16" s="1">
        <f>BB14+1</f>
        <v>5</v>
      </c>
      <c r="BC16" s="63"/>
      <c r="BD16" s="20">
        <f>1/(1+BD$3)^BB16</f>
        <v>0.86260878438416411</v>
      </c>
      <c r="BE16" s="11">
        <f t="shared" si="4"/>
        <v>0</v>
      </c>
      <c r="BF16" s="11">
        <f t="shared" si="9"/>
        <v>0</v>
      </c>
      <c r="BG16" s="12">
        <f>BG$6</f>
        <v>0</v>
      </c>
      <c r="BH16" s="21">
        <f>IF(BH$3=BH$4,BB16,(1+BH$4)*(((1+BH$3)^BB16-(1+BH$4)^BB16)/((1+BH$3)^BB16*(BH$3-BH$4))))</f>
        <v>4.8562404499551608</v>
      </c>
      <c r="BJ16" s="18">
        <f>BG16*BH16</f>
        <v>0</v>
      </c>
      <c r="BK16" s="11">
        <f t="shared" ref="BK16" si="88">BK14</f>
        <v>0</v>
      </c>
      <c r="BL16" s="11">
        <f t="shared" ref="BL16" si="89">BH16*BK16</f>
        <v>0</v>
      </c>
      <c r="BM16" s="12">
        <f t="shared" ref="BM16" si="90">BF16+BJ16+BL16</f>
        <v>0</v>
      </c>
      <c r="BN16" s="517" t="e">
        <f t="shared" ref="BN16" si="91">BN$3/BM16*1000</f>
        <v>#DIV/0!</v>
      </c>
    </row>
    <row r="17" spans="1:66" x14ac:dyDescent="0.2">
      <c r="C17" s="63"/>
      <c r="D17" s="20"/>
      <c r="E17" s="11">
        <f t="shared" si="0"/>
        <v>0</v>
      </c>
      <c r="F17" s="11">
        <f t="shared" si="5"/>
        <v>0</v>
      </c>
      <c r="H17" s="20"/>
      <c r="N17" s="517"/>
      <c r="P17" s="63"/>
      <c r="Q17" s="20"/>
      <c r="R17" s="11">
        <f t="shared" si="1"/>
        <v>0</v>
      </c>
      <c r="S17" s="11">
        <f t="shared" si="6"/>
        <v>0</v>
      </c>
      <c r="U17" s="21"/>
      <c r="AA17" s="517"/>
      <c r="AC17" s="63"/>
      <c r="AD17" s="20"/>
      <c r="AE17" s="11">
        <f t="shared" si="2"/>
        <v>0</v>
      </c>
      <c r="AF17" s="11">
        <f t="shared" si="7"/>
        <v>0</v>
      </c>
      <c r="AH17" s="20"/>
      <c r="AN17" s="517"/>
      <c r="AP17" s="63"/>
      <c r="AQ17" s="20"/>
      <c r="AR17" s="11">
        <f t="shared" si="3"/>
        <v>0</v>
      </c>
      <c r="AS17" s="11">
        <f t="shared" si="8"/>
        <v>0</v>
      </c>
      <c r="AU17" s="20"/>
      <c r="BA17" s="517"/>
      <c r="BC17" s="63"/>
      <c r="BD17" s="20"/>
      <c r="BE17" s="11">
        <f t="shared" si="4"/>
        <v>0</v>
      </c>
      <c r="BF17" s="11">
        <f t="shared" si="9"/>
        <v>0</v>
      </c>
      <c r="BH17" s="20"/>
      <c r="BN17" s="517"/>
    </row>
    <row r="18" spans="1:66" x14ac:dyDescent="0.2">
      <c r="A18" s="1">
        <f>A16+1</f>
        <v>2015</v>
      </c>
      <c r="B18" s="1">
        <f>B16+1</f>
        <v>6</v>
      </c>
      <c r="C18" s="63"/>
      <c r="D18" s="20">
        <f>1/(1+D$3)^B18</f>
        <v>0.83748425668365445</v>
      </c>
      <c r="E18" s="11">
        <f t="shared" si="0"/>
        <v>0</v>
      </c>
      <c r="F18" s="11">
        <f t="shared" si="5"/>
        <v>0</v>
      </c>
      <c r="G18" s="12">
        <f>G$6</f>
        <v>0</v>
      </c>
      <c r="H18" s="20">
        <f>IF(H$3=H$4,B18,(1+H$4)*(((1+H$3)^B18-(1+H$4)^B18)/((1+H$3)^B18*(H$3-H$4))))</f>
        <v>5.7993837465575391</v>
      </c>
      <c r="J18" s="18">
        <f>G18*H18</f>
        <v>0</v>
      </c>
      <c r="K18" s="11">
        <f t="shared" ref="K18" si="92">K16</f>
        <v>0</v>
      </c>
      <c r="L18" s="11">
        <f t="shared" ref="L18" si="93">H18*K18</f>
        <v>0</v>
      </c>
      <c r="M18" s="12">
        <f t="shared" ref="M18" si="94">F18+J18+L18</f>
        <v>0</v>
      </c>
      <c r="N18" s="517" t="e">
        <f t="shared" si="12"/>
        <v>#DIV/0!</v>
      </c>
      <c r="O18" s="1">
        <f>O16+1</f>
        <v>6</v>
      </c>
      <c r="P18" s="63"/>
      <c r="Q18" s="20">
        <f>1/(1+Q$3)^O18</f>
        <v>0.83748425668365445</v>
      </c>
      <c r="R18" s="11">
        <f t="shared" si="1"/>
        <v>0</v>
      </c>
      <c r="S18" s="11">
        <f t="shared" si="6"/>
        <v>0</v>
      </c>
      <c r="T18" s="12">
        <f>T$6</f>
        <v>0</v>
      </c>
      <c r="U18" s="21">
        <f>IF(U$3=U$4,O18,(1+U$4)*(((1+U$3)^O18-(1+U$4)^O18)/((1+U$3)^O18*(U$3-U$4))))</f>
        <v>5.7993837465575391</v>
      </c>
      <c r="W18" s="18">
        <f>T18*U18</f>
        <v>0</v>
      </c>
      <c r="X18" s="11">
        <f t="shared" ref="X18" si="95">X16</f>
        <v>0</v>
      </c>
      <c r="Y18" s="11">
        <f t="shared" ref="Y18" si="96">U18*X18</f>
        <v>0</v>
      </c>
      <c r="Z18" s="12">
        <f t="shared" ref="Z18" si="97">S18+W18+Y18</f>
        <v>0</v>
      </c>
      <c r="AA18" s="517" t="e">
        <f t="shared" si="15"/>
        <v>#DIV/0!</v>
      </c>
      <c r="AB18" s="1">
        <f>AB16+1</f>
        <v>6</v>
      </c>
      <c r="AC18" s="63"/>
      <c r="AD18" s="20">
        <f>1/(1+AD$3)^AB18</f>
        <v>0.83748425668365445</v>
      </c>
      <c r="AE18" s="11">
        <f t="shared" si="2"/>
        <v>0</v>
      </c>
      <c r="AF18" s="11">
        <f t="shared" si="7"/>
        <v>0</v>
      </c>
      <c r="AG18" s="12">
        <f>AG$6</f>
        <v>0</v>
      </c>
      <c r="AH18" s="21">
        <f>IF(AH$3=AH$4,AB18,(1+AH$4)*(((1+AH$3)^AB18-(1+AH$4)^AB18)/((1+AH$3)^AB18*(AH$3-AH$4))))</f>
        <v>5.7993837465575391</v>
      </c>
      <c r="AJ18" s="18">
        <f>AG18*AH18</f>
        <v>0</v>
      </c>
      <c r="AK18" s="11">
        <f t="shared" ref="AK18" si="98">AK16</f>
        <v>0</v>
      </c>
      <c r="AL18" s="18">
        <f t="shared" ref="AL18" si="99">AH18*AK18</f>
        <v>0</v>
      </c>
      <c r="AM18" s="12">
        <f t="shared" ref="AM18" si="100">AF18+AJ18+AL18</f>
        <v>0</v>
      </c>
      <c r="AN18" s="517" t="e">
        <f t="shared" si="17"/>
        <v>#DIV/0!</v>
      </c>
      <c r="AO18" s="1">
        <f>AO16+1</f>
        <v>6</v>
      </c>
      <c r="AP18" s="63"/>
      <c r="AQ18" s="20">
        <f>1/(1+AQ$3)^AO18</f>
        <v>0.83748425668365445</v>
      </c>
      <c r="AR18" s="11">
        <f t="shared" si="3"/>
        <v>0</v>
      </c>
      <c r="AS18" s="11">
        <f t="shared" si="8"/>
        <v>0</v>
      </c>
      <c r="AT18" s="12">
        <f>AT$6</f>
        <v>0</v>
      </c>
      <c r="AU18" s="21">
        <f>IF(AU$3=AU$4,AO18,(1+AU$4)*(((1+AU$3)^AO18-(1+AU$4)^AO18)/((1+AU$3)^AO18*(AU$3-AU$4))))</f>
        <v>5.7993837465575391</v>
      </c>
      <c r="AW18" s="18">
        <f>AT18*AU18</f>
        <v>0</v>
      </c>
      <c r="AX18" s="11">
        <f t="shared" ref="AX18" si="101">AX16</f>
        <v>0</v>
      </c>
      <c r="AY18" s="11">
        <f t="shared" ref="AY18" si="102">AU18*AX18</f>
        <v>0</v>
      </c>
      <c r="AZ18" s="12">
        <f t="shared" ref="AZ18" si="103">AS18+AW18+AY18</f>
        <v>0</v>
      </c>
      <c r="BA18" s="517" t="e">
        <f t="shared" ref="BA18" si="104">BA$3/AZ18*1000</f>
        <v>#DIV/0!</v>
      </c>
      <c r="BB18" s="1">
        <f>BB16+1</f>
        <v>6</v>
      </c>
      <c r="BC18" s="63"/>
      <c r="BD18" s="20">
        <f>1/(1+BD$3)^BB18</f>
        <v>0.83748425668365445</v>
      </c>
      <c r="BE18" s="11">
        <f t="shared" si="4"/>
        <v>0</v>
      </c>
      <c r="BF18" s="11">
        <f t="shared" si="9"/>
        <v>0</v>
      </c>
      <c r="BG18" s="12">
        <f>BG$6</f>
        <v>0</v>
      </c>
      <c r="BH18" s="21">
        <f>IF(BH$3=BH$4,BB18,(1+BH$4)*(((1+BH$3)^BB18-(1+BH$4)^BB18)/((1+BH$3)^BB18*(BH$3-BH$4))))</f>
        <v>5.7993837465575391</v>
      </c>
      <c r="BJ18" s="18">
        <f>BG18*BH18</f>
        <v>0</v>
      </c>
      <c r="BK18" s="11">
        <f t="shared" ref="BK18" si="105">BK16</f>
        <v>0</v>
      </c>
      <c r="BL18" s="11">
        <f t="shared" ref="BL18" si="106">BH18*BK18</f>
        <v>0</v>
      </c>
      <c r="BM18" s="12">
        <f t="shared" ref="BM18" si="107">BF18+BJ18+BL18</f>
        <v>0</v>
      </c>
      <c r="BN18" s="517" t="e">
        <f t="shared" ref="BN18" si="108">BN$3/BM18*1000</f>
        <v>#DIV/0!</v>
      </c>
    </row>
    <row r="19" spans="1:66" x14ac:dyDescent="0.2">
      <c r="C19" s="63"/>
      <c r="D19" s="20"/>
      <c r="E19" s="11">
        <f t="shared" si="0"/>
        <v>0</v>
      </c>
      <c r="F19" s="11">
        <f t="shared" si="5"/>
        <v>0</v>
      </c>
      <c r="H19" s="20"/>
      <c r="N19" s="517"/>
      <c r="P19" s="63"/>
      <c r="Q19" s="20"/>
      <c r="R19" s="11">
        <f t="shared" si="1"/>
        <v>0</v>
      </c>
      <c r="S19" s="11">
        <f t="shared" si="6"/>
        <v>0</v>
      </c>
      <c r="U19" s="21"/>
      <c r="AA19" s="517"/>
      <c r="AC19" s="63"/>
      <c r="AD19" s="20"/>
      <c r="AE19" s="11">
        <f t="shared" si="2"/>
        <v>0</v>
      </c>
      <c r="AF19" s="11">
        <f t="shared" si="7"/>
        <v>0</v>
      </c>
      <c r="AH19" s="20"/>
      <c r="AN19" s="517"/>
      <c r="AP19" s="63"/>
      <c r="AQ19" s="20"/>
      <c r="AR19" s="11">
        <f t="shared" si="3"/>
        <v>0</v>
      </c>
      <c r="AS19" s="11">
        <f t="shared" si="8"/>
        <v>0</v>
      </c>
      <c r="AU19" s="20"/>
      <c r="BA19" s="517"/>
      <c r="BC19" s="63"/>
      <c r="BD19" s="20"/>
      <c r="BE19" s="11">
        <f t="shared" si="4"/>
        <v>0</v>
      </c>
      <c r="BF19" s="11">
        <f t="shared" si="9"/>
        <v>0</v>
      </c>
      <c r="BH19" s="20"/>
      <c r="BN19" s="517"/>
    </row>
    <row r="20" spans="1:66" x14ac:dyDescent="0.2">
      <c r="A20" s="1">
        <f>A18+1</f>
        <v>2016</v>
      </c>
      <c r="B20" s="1">
        <f>B18+1</f>
        <v>7</v>
      </c>
      <c r="C20" s="63"/>
      <c r="D20" s="20">
        <f>1/((1+D$3)^B20)</f>
        <v>0.81309151134335378</v>
      </c>
      <c r="E20" s="11">
        <f t="shared" si="0"/>
        <v>0</v>
      </c>
      <c r="F20" s="11">
        <f t="shared" si="5"/>
        <v>0</v>
      </c>
      <c r="G20" s="12">
        <f>G$6</f>
        <v>0</v>
      </c>
      <c r="H20" s="20">
        <f>IF(H$3=H$4,B20,(1+H$4)*(((1+H$3)^B20-(1+H$4)^B20)/((1+H$3)^B20*(H$3-H$4))))</f>
        <v>6.7333703121249684</v>
      </c>
      <c r="J20" s="18">
        <f>G20*H20</f>
        <v>0</v>
      </c>
      <c r="K20" s="11">
        <f t="shared" ref="K20" si="109">K18</f>
        <v>0</v>
      </c>
      <c r="L20" s="11">
        <f t="shared" ref="L20" si="110">H20*K20</f>
        <v>0</v>
      </c>
      <c r="M20" s="12">
        <f t="shared" ref="M20" si="111">F20+J20+L20</f>
        <v>0</v>
      </c>
      <c r="N20" s="517" t="e">
        <f t="shared" si="12"/>
        <v>#DIV/0!</v>
      </c>
      <c r="O20" s="1">
        <f>O18+1</f>
        <v>7</v>
      </c>
      <c r="P20" s="63"/>
      <c r="Q20" s="20">
        <f>1/((1+Q$3)^O20)</f>
        <v>0.81309151134335378</v>
      </c>
      <c r="R20" s="11">
        <f t="shared" si="1"/>
        <v>0</v>
      </c>
      <c r="S20" s="11">
        <f t="shared" si="6"/>
        <v>0</v>
      </c>
      <c r="T20" s="12">
        <f>T$6</f>
        <v>0</v>
      </c>
      <c r="U20" s="21">
        <f>IF(U$3=U$4,O20,(1+U$4)*(((1+U$3)^O20-(1+U$4)^O20)/((1+U$3)^O20*(U$3-U$4))))</f>
        <v>6.7333703121249684</v>
      </c>
      <c r="W20" s="18">
        <f>T20*U20</f>
        <v>0</v>
      </c>
      <c r="X20" s="11">
        <f t="shared" ref="X20" si="112">X18</f>
        <v>0</v>
      </c>
      <c r="Y20" s="11">
        <f t="shared" ref="Y20" si="113">U20*X20</f>
        <v>0</v>
      </c>
      <c r="Z20" s="12">
        <f t="shared" ref="Z20" si="114">S20+W20+Y20</f>
        <v>0</v>
      </c>
      <c r="AA20" s="517" t="e">
        <f t="shared" si="15"/>
        <v>#DIV/0!</v>
      </c>
      <c r="AB20" s="1">
        <f>AB18+1</f>
        <v>7</v>
      </c>
      <c r="AC20" s="63"/>
      <c r="AD20" s="20">
        <f>1/((1+AD$3)^AB20)</f>
        <v>0.81309151134335378</v>
      </c>
      <c r="AE20" s="11">
        <f t="shared" si="2"/>
        <v>0</v>
      </c>
      <c r="AF20" s="11">
        <f t="shared" si="7"/>
        <v>0</v>
      </c>
      <c r="AG20" s="12">
        <f>AG$6</f>
        <v>0</v>
      </c>
      <c r="AH20" s="21">
        <f>IF(AH$3=AH$4,AB20,(1+AH$4)*(((1+AH$3)^AB20-(1+AH$4)^AB20)/((1+AH$3)^AB20*(AH$3-AH$4))))</f>
        <v>6.7333703121249684</v>
      </c>
      <c r="AJ20" s="18">
        <f>AG20*AH20</f>
        <v>0</v>
      </c>
      <c r="AK20" s="11">
        <f t="shared" ref="AK20" si="115">AK18</f>
        <v>0</v>
      </c>
      <c r="AL20" s="18">
        <f t="shared" ref="AL20" si="116">AH20*AK20</f>
        <v>0</v>
      </c>
      <c r="AM20" s="12">
        <f t="shared" ref="AM20" si="117">AF20+AJ20+AL20</f>
        <v>0</v>
      </c>
      <c r="AN20" s="517" t="e">
        <f t="shared" si="17"/>
        <v>#DIV/0!</v>
      </c>
      <c r="AO20" s="1">
        <f>AO18+1</f>
        <v>7</v>
      </c>
      <c r="AP20" s="63"/>
      <c r="AQ20" s="20">
        <f>1/((1+AQ$3)^AO20)</f>
        <v>0.81309151134335378</v>
      </c>
      <c r="AR20" s="11">
        <f t="shared" si="3"/>
        <v>0</v>
      </c>
      <c r="AS20" s="11">
        <f t="shared" si="8"/>
        <v>0</v>
      </c>
      <c r="AT20" s="12">
        <f>AT$6</f>
        <v>0</v>
      </c>
      <c r="AU20" s="21">
        <f>IF(AU$3=AU$4,AO20,(1+AU$4)*(((1+AU$3)^AO20-(1+AU$4)^AO20)/((1+AU$3)^AO20*(AU$3-AU$4))))</f>
        <v>6.7333703121249684</v>
      </c>
      <c r="AW20" s="18">
        <f>AT20*AU20</f>
        <v>0</v>
      </c>
      <c r="AX20" s="11">
        <f t="shared" ref="AX20" si="118">AX18</f>
        <v>0</v>
      </c>
      <c r="AY20" s="11">
        <f t="shared" ref="AY20" si="119">AU20*AX20</f>
        <v>0</v>
      </c>
      <c r="AZ20" s="12">
        <f t="shared" ref="AZ20" si="120">AS20+AW20+AY20</f>
        <v>0</v>
      </c>
      <c r="BA20" s="517" t="e">
        <f t="shared" ref="BA20" si="121">BA$3/AZ20*1000</f>
        <v>#DIV/0!</v>
      </c>
      <c r="BB20" s="1">
        <f>BB18+1</f>
        <v>7</v>
      </c>
      <c r="BC20" s="63"/>
      <c r="BD20" s="20">
        <f>1/((1+BD$3)^BB20)</f>
        <v>0.81309151134335378</v>
      </c>
      <c r="BE20" s="11">
        <f t="shared" si="4"/>
        <v>0</v>
      </c>
      <c r="BF20" s="11">
        <f t="shared" si="9"/>
        <v>0</v>
      </c>
      <c r="BG20" s="12">
        <f>BG$6</f>
        <v>0</v>
      </c>
      <c r="BH20" s="21">
        <f>IF(BH$3=BH$4,BB20,(1+BH$4)*(((1+BH$3)^BB20-(1+BH$4)^BB20)/((1+BH$3)^BB20*(BH$3-BH$4))))</f>
        <v>6.7333703121249684</v>
      </c>
      <c r="BJ20" s="18">
        <f>BG20*BH20</f>
        <v>0</v>
      </c>
      <c r="BK20" s="11">
        <f t="shared" ref="BK20" si="122">BK18</f>
        <v>0</v>
      </c>
      <c r="BL20" s="11">
        <f t="shared" ref="BL20" si="123">BH20*BK20</f>
        <v>0</v>
      </c>
      <c r="BM20" s="12">
        <f t="shared" ref="BM20" si="124">BF20+BJ20+BL20</f>
        <v>0</v>
      </c>
      <c r="BN20" s="517" t="e">
        <f t="shared" ref="BN20" si="125">BN$3/BM20*1000</f>
        <v>#DIV/0!</v>
      </c>
    </row>
    <row r="21" spans="1:66" x14ac:dyDescent="0.2">
      <c r="C21" s="63"/>
      <c r="D21" s="20"/>
      <c r="E21" s="11">
        <f t="shared" si="0"/>
        <v>0</v>
      </c>
      <c r="F21" s="11">
        <f t="shared" si="5"/>
        <v>0</v>
      </c>
      <c r="H21" s="20"/>
      <c r="N21" s="517"/>
      <c r="P21" s="63"/>
      <c r="Q21" s="20"/>
      <c r="R21" s="11">
        <f t="shared" si="1"/>
        <v>0</v>
      </c>
      <c r="S21" s="11">
        <f t="shared" si="6"/>
        <v>0</v>
      </c>
      <c r="U21" s="21"/>
      <c r="AA21" s="517"/>
      <c r="AC21" s="63"/>
      <c r="AD21" s="20"/>
      <c r="AE21" s="11">
        <f t="shared" si="2"/>
        <v>0</v>
      </c>
      <c r="AF21" s="11">
        <f t="shared" si="7"/>
        <v>0</v>
      </c>
      <c r="AH21" s="20"/>
      <c r="AN21" s="517"/>
      <c r="AP21" s="63"/>
      <c r="AQ21" s="20"/>
      <c r="AR21" s="11">
        <f t="shared" si="3"/>
        <v>0</v>
      </c>
      <c r="AS21" s="11">
        <f t="shared" si="8"/>
        <v>0</v>
      </c>
      <c r="AU21" s="20"/>
      <c r="BA21" s="517"/>
      <c r="BC21" s="63"/>
      <c r="BD21" s="20"/>
      <c r="BE21" s="11">
        <f t="shared" si="4"/>
        <v>0</v>
      </c>
      <c r="BF21" s="11">
        <f t="shared" si="9"/>
        <v>0</v>
      </c>
      <c r="BH21" s="20"/>
      <c r="BN21" s="517"/>
    </row>
    <row r="22" spans="1:66" x14ac:dyDescent="0.2">
      <c r="A22" s="1">
        <f>A20+1</f>
        <v>2017</v>
      </c>
      <c r="B22" s="1">
        <f>B20+1</f>
        <v>8</v>
      </c>
      <c r="C22" s="63"/>
      <c r="D22" s="20">
        <f>1/((1+D$3)^B22)</f>
        <v>0.78940923431393573</v>
      </c>
      <c r="E22" s="11">
        <f t="shared" si="0"/>
        <v>0</v>
      </c>
      <c r="F22" s="11">
        <f t="shared" si="5"/>
        <v>0</v>
      </c>
      <c r="G22" s="12">
        <f>G$6</f>
        <v>0</v>
      </c>
      <c r="H22" s="20">
        <f>IF(H$3=H$4,B22,(1+H$4)*(((1+H$3)^B22-(1+H$4)^B22)/((1+H$3)^B22*(H$3-H$4))))</f>
        <v>7.6582890469586866</v>
      </c>
      <c r="J22" s="18">
        <f>G22*H22</f>
        <v>0</v>
      </c>
      <c r="K22" s="11">
        <f t="shared" ref="K22" si="126">K20</f>
        <v>0</v>
      </c>
      <c r="L22" s="11">
        <f t="shared" ref="L22" si="127">H22*K22</f>
        <v>0</v>
      </c>
      <c r="M22" s="12">
        <f t="shared" ref="M22" si="128">F22+J22+L22</f>
        <v>0</v>
      </c>
      <c r="N22" s="517" t="e">
        <f t="shared" si="12"/>
        <v>#DIV/0!</v>
      </c>
      <c r="O22" s="1">
        <f>O20+1</f>
        <v>8</v>
      </c>
      <c r="P22" s="63"/>
      <c r="Q22" s="20">
        <f>1/((1+Q$3)^O22)</f>
        <v>0.78940923431393573</v>
      </c>
      <c r="R22" s="11">
        <f t="shared" si="1"/>
        <v>0</v>
      </c>
      <c r="S22" s="11">
        <f t="shared" si="6"/>
        <v>0</v>
      </c>
      <c r="T22" s="12">
        <f>T$6</f>
        <v>0</v>
      </c>
      <c r="U22" s="21">
        <f>IF(U$3=U$4,O22,(1+U$4)*(((1+U$3)^O22-(1+U$4)^O22)/((1+U$3)^O22*(U$3-U$4))))</f>
        <v>7.6582890469586866</v>
      </c>
      <c r="W22" s="18">
        <f>T22*U22</f>
        <v>0</v>
      </c>
      <c r="X22" s="11">
        <f t="shared" ref="X22" si="129">X20</f>
        <v>0</v>
      </c>
      <c r="Y22" s="11">
        <f t="shared" ref="Y22" si="130">U22*X22</f>
        <v>0</v>
      </c>
      <c r="Z22" s="12">
        <f t="shared" ref="Z22" si="131">S22+W22+Y22</f>
        <v>0</v>
      </c>
      <c r="AA22" s="517" t="e">
        <f t="shared" si="15"/>
        <v>#DIV/0!</v>
      </c>
      <c r="AB22" s="1">
        <f>AB20+1</f>
        <v>8</v>
      </c>
      <c r="AC22" s="63"/>
      <c r="AD22" s="20">
        <f>1/((1+AD$3)^AB22)</f>
        <v>0.78940923431393573</v>
      </c>
      <c r="AE22" s="11">
        <f t="shared" si="2"/>
        <v>0</v>
      </c>
      <c r="AF22" s="11">
        <f t="shared" si="7"/>
        <v>0</v>
      </c>
      <c r="AG22" s="12">
        <f>AG$6</f>
        <v>0</v>
      </c>
      <c r="AH22" s="21">
        <f>IF(AH$3=AH$4,AB22,(1+AH$4)*(((1+AH$3)^AB22-(1+AH$4)^AB22)/((1+AH$3)^AB22*(AH$3-AH$4))))</f>
        <v>7.6582890469586866</v>
      </c>
      <c r="AJ22" s="18">
        <f>AG22*AH22</f>
        <v>0</v>
      </c>
      <c r="AK22" s="11">
        <f t="shared" ref="AK22" si="132">AK20</f>
        <v>0</v>
      </c>
      <c r="AL22" s="18">
        <f t="shared" ref="AL22" si="133">AH22*AK22</f>
        <v>0</v>
      </c>
      <c r="AM22" s="12">
        <f t="shared" ref="AM22" si="134">AF22+AJ22+AL22</f>
        <v>0</v>
      </c>
      <c r="AN22" s="517" t="e">
        <f t="shared" si="17"/>
        <v>#DIV/0!</v>
      </c>
      <c r="AO22" s="1">
        <f>AO20+1</f>
        <v>8</v>
      </c>
      <c r="AP22" s="63"/>
      <c r="AQ22" s="20">
        <f>1/((1+AQ$3)^AO22)</f>
        <v>0.78940923431393573</v>
      </c>
      <c r="AR22" s="11">
        <f t="shared" si="3"/>
        <v>0</v>
      </c>
      <c r="AS22" s="11">
        <f t="shared" si="8"/>
        <v>0</v>
      </c>
      <c r="AT22" s="12">
        <f>AT$6</f>
        <v>0</v>
      </c>
      <c r="AU22" s="21">
        <f>IF(AU$3=AU$4,AO22,(1+AU$4)*(((1+AU$3)^AO22-(1+AU$4)^AO22)/((1+AU$3)^AO22*(AU$3-AU$4))))</f>
        <v>7.6582890469586866</v>
      </c>
      <c r="AW22" s="18">
        <f>AT22*AU22</f>
        <v>0</v>
      </c>
      <c r="AX22" s="11">
        <f t="shared" ref="AX22" si="135">AX20</f>
        <v>0</v>
      </c>
      <c r="AY22" s="11">
        <f t="shared" ref="AY22" si="136">AU22*AX22</f>
        <v>0</v>
      </c>
      <c r="AZ22" s="12">
        <f t="shared" ref="AZ22" si="137">AS22+AW22+AY22</f>
        <v>0</v>
      </c>
      <c r="BA22" s="517" t="e">
        <f t="shared" ref="BA22" si="138">BA$3/AZ22*1000</f>
        <v>#DIV/0!</v>
      </c>
      <c r="BB22" s="1">
        <f>BB20+1</f>
        <v>8</v>
      </c>
      <c r="BC22" s="63"/>
      <c r="BD22" s="20">
        <f>1/((1+BD$3)^BB22)</f>
        <v>0.78940923431393573</v>
      </c>
      <c r="BE22" s="11">
        <f t="shared" si="4"/>
        <v>0</v>
      </c>
      <c r="BF22" s="11">
        <f t="shared" si="9"/>
        <v>0</v>
      </c>
      <c r="BG22" s="12">
        <f>BG$6</f>
        <v>0</v>
      </c>
      <c r="BH22" s="21">
        <f>IF(BH$3=BH$4,BB22,(1+BH$4)*(((1+BH$3)^BB22-(1+BH$4)^BB22)/((1+BH$3)^BB22*(BH$3-BH$4))))</f>
        <v>7.6582890469586866</v>
      </c>
      <c r="BJ22" s="18">
        <f>BG22*BH22</f>
        <v>0</v>
      </c>
      <c r="BK22" s="11">
        <f t="shared" ref="BK22" si="139">BK20</f>
        <v>0</v>
      </c>
      <c r="BL22" s="11">
        <f t="shared" ref="BL22" si="140">BH22*BK22</f>
        <v>0</v>
      </c>
      <c r="BM22" s="12">
        <f t="shared" ref="BM22" si="141">BF22+BJ22+BL22</f>
        <v>0</v>
      </c>
      <c r="BN22" s="517" t="e">
        <f t="shared" ref="BN22" si="142">BN$3/BM22*1000</f>
        <v>#DIV/0!</v>
      </c>
    </row>
    <row r="23" spans="1:66" x14ac:dyDescent="0.2">
      <c r="C23" s="63"/>
      <c r="D23" s="20"/>
      <c r="E23" s="11">
        <f t="shared" si="0"/>
        <v>0</v>
      </c>
      <c r="F23" s="11">
        <f t="shared" si="5"/>
        <v>0</v>
      </c>
      <c r="H23" s="20"/>
      <c r="N23" s="517"/>
      <c r="P23" s="63"/>
      <c r="Q23" s="20"/>
      <c r="R23" s="11">
        <f t="shared" si="1"/>
        <v>0</v>
      </c>
      <c r="S23" s="11">
        <f t="shared" si="6"/>
        <v>0</v>
      </c>
      <c r="U23" s="21"/>
      <c r="AA23" s="517"/>
      <c r="AC23" s="63"/>
      <c r="AD23" s="20"/>
      <c r="AE23" s="11">
        <f t="shared" si="2"/>
        <v>0</v>
      </c>
      <c r="AF23" s="11">
        <f t="shared" si="7"/>
        <v>0</v>
      </c>
      <c r="AH23" s="20"/>
      <c r="AN23" s="517"/>
      <c r="AP23" s="63"/>
      <c r="AQ23" s="20"/>
      <c r="AR23" s="11">
        <f t="shared" si="3"/>
        <v>0</v>
      </c>
      <c r="AS23" s="11">
        <f t="shared" si="8"/>
        <v>0</v>
      </c>
      <c r="AU23" s="20"/>
      <c r="BA23" s="517"/>
      <c r="BC23" s="63"/>
      <c r="BD23" s="20"/>
      <c r="BE23" s="11">
        <f t="shared" si="4"/>
        <v>0</v>
      </c>
      <c r="BF23" s="11">
        <f t="shared" si="9"/>
        <v>0</v>
      </c>
      <c r="BH23" s="20"/>
      <c r="BN23" s="517"/>
    </row>
    <row r="24" spans="1:66" x14ac:dyDescent="0.2">
      <c r="A24" s="1">
        <f>A22+1</f>
        <v>2018</v>
      </c>
      <c r="B24" s="1">
        <f>B22+1</f>
        <v>9</v>
      </c>
      <c r="C24" s="63"/>
      <c r="D24" s="20">
        <f>1/((1+D$3)^B24)</f>
        <v>0.76641673234362695</v>
      </c>
      <c r="E24" s="11">
        <f t="shared" si="0"/>
        <v>0</v>
      </c>
      <c r="F24" s="11">
        <f t="shared" si="5"/>
        <v>0</v>
      </c>
      <c r="G24" s="12">
        <f>G$6</f>
        <v>0</v>
      </c>
      <c r="H24" s="20">
        <f>IF(H$3=H$4,B24,(1+H$4)*(((1+H$3)^B24-(1+H$4)^B24)/((1+H$3)^B24*(H$3-H$4))))</f>
        <v>8.5742279882503531</v>
      </c>
      <c r="J24" s="18">
        <f>G24*H24</f>
        <v>0</v>
      </c>
      <c r="K24" s="11">
        <f t="shared" ref="K24" si="143">K22</f>
        <v>0</v>
      </c>
      <c r="L24" s="11">
        <f t="shared" ref="L24" si="144">H24*K24</f>
        <v>0</v>
      </c>
      <c r="M24" s="12">
        <f t="shared" ref="M24" si="145">F24+J24+L24</f>
        <v>0</v>
      </c>
      <c r="N24" s="517" t="e">
        <f t="shared" si="12"/>
        <v>#DIV/0!</v>
      </c>
      <c r="O24" s="1">
        <f>O22+1</f>
        <v>9</v>
      </c>
      <c r="P24" s="63"/>
      <c r="Q24" s="20">
        <f>1/((1+Q$3)^O24)</f>
        <v>0.76641673234362695</v>
      </c>
      <c r="R24" s="11">
        <f t="shared" si="1"/>
        <v>0</v>
      </c>
      <c r="S24" s="11">
        <f t="shared" si="6"/>
        <v>0</v>
      </c>
      <c r="T24" s="12">
        <f>T$6</f>
        <v>0</v>
      </c>
      <c r="U24" s="21">
        <f>IF(U$3=U$4,O24,(1+U$4)*(((1+U$3)^O24-(1+U$4)^O24)/((1+U$3)^O24*(U$3-U$4))))</f>
        <v>8.5742279882503531</v>
      </c>
      <c r="W24" s="18">
        <f>T24*U24</f>
        <v>0</v>
      </c>
      <c r="X24" s="11">
        <f t="shared" ref="X24" si="146">X22</f>
        <v>0</v>
      </c>
      <c r="Y24" s="11">
        <f t="shared" ref="Y24" si="147">U24*X24</f>
        <v>0</v>
      </c>
      <c r="Z24" s="12">
        <f t="shared" ref="Z24" si="148">S24+W24+Y24</f>
        <v>0</v>
      </c>
      <c r="AA24" s="517" t="e">
        <f t="shared" si="15"/>
        <v>#DIV/0!</v>
      </c>
      <c r="AB24" s="1">
        <f>AB22+1</f>
        <v>9</v>
      </c>
      <c r="AC24" s="63"/>
      <c r="AD24" s="20">
        <f>1/((1+AD$3)^AB24)</f>
        <v>0.76641673234362695</v>
      </c>
      <c r="AE24" s="11">
        <f t="shared" si="2"/>
        <v>0</v>
      </c>
      <c r="AF24" s="11">
        <f t="shared" si="7"/>
        <v>0</v>
      </c>
      <c r="AG24" s="12">
        <f>AG$6</f>
        <v>0</v>
      </c>
      <c r="AH24" s="21">
        <f>IF(AH$3=AH$4,AB24,(1+AH$4)*(((1+AH$3)^AB24-(1+AH$4)^AB24)/((1+AH$3)^AB24*(AH$3-AH$4))))</f>
        <v>8.5742279882503531</v>
      </c>
      <c r="AJ24" s="18">
        <f>AG24*AH24</f>
        <v>0</v>
      </c>
      <c r="AK24" s="11">
        <f t="shared" ref="AK24" si="149">AK22</f>
        <v>0</v>
      </c>
      <c r="AL24" s="18">
        <f t="shared" ref="AL24" si="150">AH24*AK24</f>
        <v>0</v>
      </c>
      <c r="AM24" s="12">
        <f t="shared" ref="AM24" si="151">AF24+AJ24+AL24</f>
        <v>0</v>
      </c>
      <c r="AN24" s="517" t="e">
        <f t="shared" si="17"/>
        <v>#DIV/0!</v>
      </c>
      <c r="AO24" s="1">
        <f>AO22+1</f>
        <v>9</v>
      </c>
      <c r="AP24" s="63"/>
      <c r="AQ24" s="20">
        <f>1/((1+AQ$3)^AO24)</f>
        <v>0.76641673234362695</v>
      </c>
      <c r="AR24" s="11">
        <f t="shared" si="3"/>
        <v>0</v>
      </c>
      <c r="AS24" s="11">
        <f t="shared" si="8"/>
        <v>0</v>
      </c>
      <c r="AT24" s="12">
        <f>AT$6</f>
        <v>0</v>
      </c>
      <c r="AU24" s="21">
        <f>IF(AU$3=AU$4,AO24,(1+AU$4)*(((1+AU$3)^AO24-(1+AU$4)^AO24)/((1+AU$3)^AO24*(AU$3-AU$4))))</f>
        <v>8.5742279882503531</v>
      </c>
      <c r="AW24" s="18">
        <f>AT24*AU24</f>
        <v>0</v>
      </c>
      <c r="AX24" s="11">
        <f t="shared" ref="AX24" si="152">AX22</f>
        <v>0</v>
      </c>
      <c r="AY24" s="11">
        <f t="shared" ref="AY24" si="153">AU24*AX24</f>
        <v>0</v>
      </c>
      <c r="AZ24" s="12">
        <f t="shared" ref="AZ24" si="154">AS24+AW24+AY24</f>
        <v>0</v>
      </c>
      <c r="BA24" s="517" t="e">
        <f t="shared" ref="BA24" si="155">BA$3/AZ24*1000</f>
        <v>#DIV/0!</v>
      </c>
      <c r="BB24" s="1">
        <f>BB22+1</f>
        <v>9</v>
      </c>
      <c r="BC24" s="63"/>
      <c r="BD24" s="20">
        <f>1/((1+BD$3)^BB24)</f>
        <v>0.76641673234362695</v>
      </c>
      <c r="BE24" s="11">
        <f t="shared" si="4"/>
        <v>0</v>
      </c>
      <c r="BF24" s="11">
        <f t="shared" si="9"/>
        <v>0</v>
      </c>
      <c r="BG24" s="12">
        <f>BG$6</f>
        <v>0</v>
      </c>
      <c r="BH24" s="21">
        <f>IF(BH$3=BH$4,BB24,(1+BH$4)*(((1+BH$3)^BB24-(1+BH$4)^BB24)/((1+BH$3)^BB24*(BH$3-BH$4))))</f>
        <v>8.5742279882503531</v>
      </c>
      <c r="BJ24" s="18">
        <f>BG24*BH24</f>
        <v>0</v>
      </c>
      <c r="BK24" s="11">
        <f t="shared" ref="BK24" si="156">BK22</f>
        <v>0</v>
      </c>
      <c r="BL24" s="11">
        <f t="shared" ref="BL24" si="157">BH24*BK24</f>
        <v>0</v>
      </c>
      <c r="BM24" s="12">
        <f t="shared" ref="BM24" si="158">BF24+BJ24+BL24</f>
        <v>0</v>
      </c>
      <c r="BN24" s="517" t="e">
        <f t="shared" ref="BN24" si="159">BN$3/BM24*1000</f>
        <v>#DIV/0!</v>
      </c>
    </row>
    <row r="25" spans="1:66" x14ac:dyDescent="0.2">
      <c r="C25" s="63"/>
      <c r="D25" s="20"/>
      <c r="E25" s="11">
        <f t="shared" si="0"/>
        <v>0</v>
      </c>
      <c r="F25" s="11">
        <f t="shared" si="5"/>
        <v>0</v>
      </c>
      <c r="H25" s="20"/>
      <c r="N25" s="517"/>
      <c r="P25" s="63"/>
      <c r="Q25" s="20"/>
      <c r="R25" s="11">
        <f t="shared" si="1"/>
        <v>0</v>
      </c>
      <c r="S25" s="11">
        <f t="shared" si="6"/>
        <v>0</v>
      </c>
      <c r="U25" s="21"/>
      <c r="AA25" s="517"/>
      <c r="AC25" s="63"/>
      <c r="AD25" s="20"/>
      <c r="AE25" s="11">
        <f t="shared" si="2"/>
        <v>0</v>
      </c>
      <c r="AF25" s="11">
        <f t="shared" si="7"/>
        <v>0</v>
      </c>
      <c r="AH25" s="20"/>
      <c r="AN25" s="517"/>
      <c r="AP25" s="63"/>
      <c r="AQ25" s="20"/>
      <c r="AR25" s="11">
        <f t="shared" si="3"/>
        <v>0</v>
      </c>
      <c r="AS25" s="11">
        <f t="shared" si="8"/>
        <v>0</v>
      </c>
      <c r="AU25" s="20"/>
      <c r="BA25" s="517"/>
      <c r="BC25" s="63"/>
      <c r="BD25" s="20"/>
      <c r="BE25" s="11">
        <f t="shared" si="4"/>
        <v>0</v>
      </c>
      <c r="BF25" s="11">
        <f t="shared" si="9"/>
        <v>0</v>
      </c>
      <c r="BH25" s="20"/>
      <c r="BN25" s="517"/>
    </row>
    <row r="26" spans="1:66" x14ac:dyDescent="0.2">
      <c r="A26" s="1">
        <f>A24+1</f>
        <v>2019</v>
      </c>
      <c r="B26" s="1">
        <f>B24+1</f>
        <v>10</v>
      </c>
      <c r="C26" s="63"/>
      <c r="D26" s="20">
        <f>1/((1+D$3)^B26)</f>
        <v>0.74409391489672516</v>
      </c>
      <c r="E26" s="11">
        <f t="shared" si="0"/>
        <v>0</v>
      </c>
      <c r="F26" s="11">
        <f t="shared" si="5"/>
        <v>0</v>
      </c>
      <c r="G26" s="12">
        <f>G$6</f>
        <v>0</v>
      </c>
      <c r="H26" s="20">
        <f>IF(H$3=H$4,B26,(1+H$4)*(((1+H$3)^B26-(1+H$4)^B26)/((1+H$3)^B26*(H$3-H$4))))</f>
        <v>9.4812743184615105</v>
      </c>
      <c r="J26" s="18">
        <f>G26*H26</f>
        <v>0</v>
      </c>
      <c r="K26" s="11">
        <f t="shared" ref="K26" si="160">K24</f>
        <v>0</v>
      </c>
      <c r="L26" s="11">
        <f t="shared" ref="L26" si="161">H26*K26</f>
        <v>0</v>
      </c>
      <c r="M26" s="12">
        <f t="shared" ref="M26" si="162">F26+J26+L26</f>
        <v>0</v>
      </c>
      <c r="N26" s="517" t="e">
        <f t="shared" si="12"/>
        <v>#DIV/0!</v>
      </c>
      <c r="O26" s="1">
        <f>O24+1</f>
        <v>10</v>
      </c>
      <c r="P26" s="63"/>
      <c r="Q26" s="20">
        <f>1/((1+Q$3)^O26)</f>
        <v>0.74409391489672516</v>
      </c>
      <c r="R26" s="11">
        <f t="shared" si="1"/>
        <v>0</v>
      </c>
      <c r="S26" s="11">
        <f t="shared" si="6"/>
        <v>0</v>
      </c>
      <c r="T26" s="12">
        <f>T$6</f>
        <v>0</v>
      </c>
      <c r="U26" s="21">
        <f>IF(U$3=U$4,O26,(1+U$4)*(((1+U$3)^O26-(1+U$4)^O26)/((1+U$3)^O26*(U$3-U$4))))</f>
        <v>9.4812743184615105</v>
      </c>
      <c r="W26" s="18">
        <f>T26*U26</f>
        <v>0</v>
      </c>
      <c r="X26" s="11">
        <f t="shared" ref="X26" si="163">X24</f>
        <v>0</v>
      </c>
      <c r="Y26" s="11">
        <f t="shared" ref="Y26" si="164">U26*X26</f>
        <v>0</v>
      </c>
      <c r="Z26" s="12">
        <f t="shared" ref="Z26" si="165">S26+W26+Y26</f>
        <v>0</v>
      </c>
      <c r="AA26" s="517" t="e">
        <f t="shared" si="15"/>
        <v>#DIV/0!</v>
      </c>
      <c r="AB26" s="1">
        <f>AB24+1</f>
        <v>10</v>
      </c>
      <c r="AC26" s="63"/>
      <c r="AD26" s="20">
        <f>1/((1+AD$3)^AB26)</f>
        <v>0.74409391489672516</v>
      </c>
      <c r="AE26" s="11">
        <f t="shared" si="2"/>
        <v>0</v>
      </c>
      <c r="AF26" s="11">
        <f t="shared" si="7"/>
        <v>0</v>
      </c>
      <c r="AG26" s="12">
        <f>AG$6</f>
        <v>0</v>
      </c>
      <c r="AH26" s="21">
        <f>IF(AH$3=AH$4,AB26,(1+AH$4)*(((1+AH$3)^AB26-(1+AH$4)^AB26)/((1+AH$3)^AB26*(AH$3-AH$4))))</f>
        <v>9.4812743184615105</v>
      </c>
      <c r="AJ26" s="18">
        <f>AG26*AH26</f>
        <v>0</v>
      </c>
      <c r="AK26" s="11">
        <f t="shared" ref="AK26" si="166">AK24</f>
        <v>0</v>
      </c>
      <c r="AL26" s="18">
        <f t="shared" ref="AL26" si="167">AH26*AK26</f>
        <v>0</v>
      </c>
      <c r="AM26" s="12">
        <f t="shared" ref="AM26" si="168">AF26+AJ26+AL26</f>
        <v>0</v>
      </c>
      <c r="AN26" s="517" t="e">
        <f t="shared" si="17"/>
        <v>#DIV/0!</v>
      </c>
      <c r="AO26" s="1">
        <f>AO24+1</f>
        <v>10</v>
      </c>
      <c r="AP26" s="63"/>
      <c r="AQ26" s="20">
        <f>1/((1+AQ$3)^AO26)</f>
        <v>0.74409391489672516</v>
      </c>
      <c r="AR26" s="11">
        <f t="shared" si="3"/>
        <v>0</v>
      </c>
      <c r="AS26" s="11">
        <f t="shared" si="8"/>
        <v>0</v>
      </c>
      <c r="AT26" s="12">
        <f>AT$6</f>
        <v>0</v>
      </c>
      <c r="AU26" s="21">
        <f>IF(AU$3=AU$4,AO26,(1+AU$4)*(((1+AU$3)^AO26-(1+AU$4)^AO26)/((1+AU$3)^AO26*(AU$3-AU$4))))</f>
        <v>9.4812743184615105</v>
      </c>
      <c r="AW26" s="18">
        <f>AT26*AU26</f>
        <v>0</v>
      </c>
      <c r="AX26" s="11">
        <f t="shared" ref="AX26" si="169">AX24</f>
        <v>0</v>
      </c>
      <c r="AY26" s="11">
        <f t="shared" ref="AY26" si="170">AU26*AX26</f>
        <v>0</v>
      </c>
      <c r="AZ26" s="12">
        <f t="shared" ref="AZ26" si="171">AS26+AW26+AY26</f>
        <v>0</v>
      </c>
      <c r="BA26" s="517" t="e">
        <f t="shared" ref="BA26" si="172">BA$3/AZ26*1000</f>
        <v>#DIV/0!</v>
      </c>
      <c r="BB26" s="1">
        <f>BB24+1</f>
        <v>10</v>
      </c>
      <c r="BC26" s="63"/>
      <c r="BD26" s="20">
        <f>1/((1+BD$3)^BB26)</f>
        <v>0.74409391489672516</v>
      </c>
      <c r="BE26" s="11">
        <f t="shared" si="4"/>
        <v>0</v>
      </c>
      <c r="BF26" s="11">
        <f t="shared" si="9"/>
        <v>0</v>
      </c>
      <c r="BG26" s="12">
        <f>BG$6</f>
        <v>0</v>
      </c>
      <c r="BH26" s="21">
        <f>IF(BH$3=BH$4,BB26,(1+BH$4)*(((1+BH$3)^BB26-(1+BH$4)^BB26)/((1+BH$3)^BB26*(BH$3-BH$4))))</f>
        <v>9.4812743184615105</v>
      </c>
      <c r="BJ26" s="18">
        <f>BG26*BH26</f>
        <v>0</v>
      </c>
      <c r="BK26" s="11">
        <f t="shared" ref="BK26" si="173">BK24</f>
        <v>0</v>
      </c>
      <c r="BL26" s="11">
        <f t="shared" ref="BL26" si="174">BH26*BK26</f>
        <v>0</v>
      </c>
      <c r="BM26" s="12">
        <f t="shared" ref="BM26" si="175">BF26+BJ26+BL26</f>
        <v>0</v>
      </c>
      <c r="BN26" s="517" t="e">
        <f t="shared" ref="BN26" si="176">BN$3/BM26*1000</f>
        <v>#DIV/0!</v>
      </c>
    </row>
    <row r="27" spans="1:66" x14ac:dyDescent="0.2">
      <c r="C27" s="63"/>
      <c r="D27" s="20"/>
      <c r="E27" s="11">
        <f t="shared" si="0"/>
        <v>0</v>
      </c>
      <c r="F27" s="11">
        <f t="shared" si="5"/>
        <v>0</v>
      </c>
      <c r="H27" s="20"/>
      <c r="N27" s="517"/>
      <c r="P27" s="63"/>
      <c r="Q27" s="20"/>
      <c r="R27" s="11">
        <f t="shared" si="1"/>
        <v>0</v>
      </c>
      <c r="S27" s="11">
        <f t="shared" si="6"/>
        <v>0</v>
      </c>
      <c r="U27" s="21"/>
      <c r="AA27" s="517"/>
      <c r="AC27" s="63"/>
      <c r="AD27" s="20"/>
      <c r="AE27" s="11">
        <f t="shared" si="2"/>
        <v>0</v>
      </c>
      <c r="AF27" s="11">
        <f t="shared" si="7"/>
        <v>0</v>
      </c>
      <c r="AH27" s="20"/>
      <c r="AN27" s="517"/>
      <c r="AP27" s="63"/>
      <c r="AQ27" s="20"/>
      <c r="AR27" s="11">
        <f t="shared" si="3"/>
        <v>0</v>
      </c>
      <c r="AS27" s="11">
        <f t="shared" si="8"/>
        <v>0</v>
      </c>
      <c r="AU27" s="20"/>
      <c r="BA27" s="517"/>
      <c r="BC27" s="63"/>
      <c r="BD27" s="20"/>
      <c r="BE27" s="11">
        <f t="shared" si="4"/>
        <v>0</v>
      </c>
      <c r="BF27" s="11">
        <f t="shared" si="9"/>
        <v>0</v>
      </c>
      <c r="BH27" s="20"/>
      <c r="BN27" s="517"/>
    </row>
    <row r="28" spans="1:66" x14ac:dyDescent="0.2">
      <c r="A28" s="1">
        <f>A26+1</f>
        <v>2020</v>
      </c>
      <c r="B28" s="1">
        <f>B26+1</f>
        <v>11</v>
      </c>
      <c r="C28" s="63"/>
      <c r="D28" s="20">
        <f>1/((1+D$3)^B28)</f>
        <v>0.72242127659876232</v>
      </c>
      <c r="E28" s="11">
        <f t="shared" si="0"/>
        <v>0</v>
      </c>
      <c r="F28" s="11">
        <f t="shared" si="5"/>
        <v>0</v>
      </c>
      <c r="G28" s="12">
        <f>G$6</f>
        <v>0</v>
      </c>
      <c r="H28" s="20">
        <f>IF(H$3=H$4,B28,(1+H$4)*(((1+H$3)^B28-(1+H$4)^B28)/((1+H$3)^B28*(H$3-H$4))))</f>
        <v>10.379514373622099</v>
      </c>
      <c r="J28" s="18">
        <f>G28*H28</f>
        <v>0</v>
      </c>
      <c r="K28" s="11">
        <f t="shared" ref="K28" si="177">K26</f>
        <v>0</v>
      </c>
      <c r="L28" s="11">
        <f t="shared" ref="L28" si="178">H28*K28</f>
        <v>0</v>
      </c>
      <c r="M28" s="12">
        <f t="shared" ref="M28" si="179">F28+J28+L28</f>
        <v>0</v>
      </c>
      <c r="N28" s="517" t="e">
        <f t="shared" si="12"/>
        <v>#DIV/0!</v>
      </c>
      <c r="O28" s="1">
        <f>O26+1</f>
        <v>11</v>
      </c>
      <c r="P28" s="63"/>
      <c r="Q28" s="20">
        <f>1/((1+Q$3)^O28)</f>
        <v>0.72242127659876232</v>
      </c>
      <c r="R28" s="11">
        <f t="shared" si="1"/>
        <v>0</v>
      </c>
      <c r="S28" s="11">
        <f t="shared" si="6"/>
        <v>0</v>
      </c>
      <c r="T28" s="12">
        <f>T$6</f>
        <v>0</v>
      </c>
      <c r="U28" s="21">
        <f>IF(U$3=U$4,O28,(1+U$4)*(((1+U$3)^O28-(1+U$4)^O28)/((1+U$3)^O28*(U$3-U$4))))</f>
        <v>10.379514373622099</v>
      </c>
      <c r="W28" s="18">
        <f>T28*U28</f>
        <v>0</v>
      </c>
      <c r="X28" s="11">
        <f t="shared" ref="X28" si="180">X26</f>
        <v>0</v>
      </c>
      <c r="Y28" s="11">
        <f t="shared" ref="Y28" si="181">U28*X28</f>
        <v>0</v>
      </c>
      <c r="Z28" s="12">
        <f t="shared" ref="Z28" si="182">S28+W28+Y28</f>
        <v>0</v>
      </c>
      <c r="AA28" s="517" t="e">
        <f t="shared" si="15"/>
        <v>#DIV/0!</v>
      </c>
      <c r="AB28" s="1">
        <f>AB26+1</f>
        <v>11</v>
      </c>
      <c r="AC28" s="63"/>
      <c r="AD28" s="20">
        <f>1/((1+AD$3)^AB28)</f>
        <v>0.72242127659876232</v>
      </c>
      <c r="AE28" s="11">
        <f t="shared" si="2"/>
        <v>0</v>
      </c>
      <c r="AF28" s="11">
        <f t="shared" si="7"/>
        <v>0</v>
      </c>
      <c r="AG28" s="12">
        <f>AG$6</f>
        <v>0</v>
      </c>
      <c r="AH28" s="21">
        <f>IF(AH$3=AH$4,AB28,(1+AH$4)*(((1+AH$3)^AB28-(1+AH$4)^AB28)/((1+AH$3)^AB28*(AH$3-AH$4))))</f>
        <v>10.379514373622099</v>
      </c>
      <c r="AJ28" s="18">
        <f>AG28*AH28</f>
        <v>0</v>
      </c>
      <c r="AK28" s="11">
        <f t="shared" ref="AK28" si="183">AK26</f>
        <v>0</v>
      </c>
      <c r="AL28" s="18">
        <f t="shared" ref="AL28" si="184">AH28*AK28</f>
        <v>0</v>
      </c>
      <c r="AM28" s="12">
        <f t="shared" ref="AM28" si="185">AF28+AJ28+AL28</f>
        <v>0</v>
      </c>
      <c r="AN28" s="517" t="e">
        <f t="shared" si="17"/>
        <v>#DIV/0!</v>
      </c>
      <c r="AO28" s="1">
        <f>AO26+1</f>
        <v>11</v>
      </c>
      <c r="AP28" s="63"/>
      <c r="AQ28" s="20">
        <f>1/((1+AQ$3)^AO28)</f>
        <v>0.72242127659876232</v>
      </c>
      <c r="AR28" s="11">
        <f t="shared" si="3"/>
        <v>0</v>
      </c>
      <c r="AS28" s="11">
        <f t="shared" si="8"/>
        <v>0</v>
      </c>
      <c r="AT28" s="12">
        <f>AT$6</f>
        <v>0</v>
      </c>
      <c r="AU28" s="21">
        <f>IF(AU$3=AU$4,AO28,(1+AU$4)*(((1+AU$3)^AO28-(1+AU$4)^AO28)/((1+AU$3)^AO28*(AU$3-AU$4))))</f>
        <v>10.379514373622099</v>
      </c>
      <c r="AW28" s="18">
        <f>AT28*AU28</f>
        <v>0</v>
      </c>
      <c r="AX28" s="11">
        <f t="shared" ref="AX28" si="186">AX26</f>
        <v>0</v>
      </c>
      <c r="AY28" s="11">
        <f t="shared" ref="AY28" si="187">AU28*AX28</f>
        <v>0</v>
      </c>
      <c r="AZ28" s="12">
        <f t="shared" ref="AZ28" si="188">AS28+AW28+AY28</f>
        <v>0</v>
      </c>
      <c r="BA28" s="517" t="e">
        <f t="shared" ref="BA28" si="189">BA$3/AZ28*1000</f>
        <v>#DIV/0!</v>
      </c>
      <c r="BB28" s="1">
        <f>BB26+1</f>
        <v>11</v>
      </c>
      <c r="BC28" s="63"/>
      <c r="BD28" s="20">
        <f>1/((1+BD$3)^BB28)</f>
        <v>0.72242127659876232</v>
      </c>
      <c r="BE28" s="11">
        <f t="shared" si="4"/>
        <v>0</v>
      </c>
      <c r="BF28" s="11">
        <f t="shared" si="9"/>
        <v>0</v>
      </c>
      <c r="BG28" s="12">
        <f>BG$6</f>
        <v>0</v>
      </c>
      <c r="BH28" s="21">
        <f>IF(BH$3=BH$4,BB28,(1+BH$4)*(((1+BH$3)^BB28-(1+BH$4)^BB28)/((1+BH$3)^BB28*(BH$3-BH$4))))</f>
        <v>10.379514373622099</v>
      </c>
      <c r="BJ28" s="18">
        <f>BG28*BH28</f>
        <v>0</v>
      </c>
      <c r="BK28" s="11">
        <f t="shared" ref="BK28" si="190">BK26</f>
        <v>0</v>
      </c>
      <c r="BL28" s="11">
        <f t="shared" ref="BL28" si="191">BH28*BK28</f>
        <v>0</v>
      </c>
      <c r="BM28" s="12">
        <f t="shared" ref="BM28" si="192">BF28+BJ28+BL28</f>
        <v>0</v>
      </c>
      <c r="BN28" s="517" t="e">
        <f t="shared" ref="BN28" si="193">BN$3/BM28*1000</f>
        <v>#DIV/0!</v>
      </c>
    </row>
    <row r="29" spans="1:66" x14ac:dyDescent="0.2">
      <c r="C29" s="63"/>
      <c r="D29" s="20"/>
      <c r="E29" s="11">
        <f t="shared" si="0"/>
        <v>0</v>
      </c>
      <c r="F29" s="11">
        <f t="shared" si="5"/>
        <v>0</v>
      </c>
      <c r="H29" s="20"/>
      <c r="N29" s="517"/>
      <c r="P29" s="63"/>
      <c r="Q29" s="20"/>
      <c r="R29" s="11">
        <f t="shared" si="1"/>
        <v>0</v>
      </c>
      <c r="S29" s="11">
        <f t="shared" si="6"/>
        <v>0</v>
      </c>
      <c r="U29" s="21"/>
      <c r="AA29" s="517"/>
      <c r="AC29" s="63"/>
      <c r="AD29" s="20"/>
      <c r="AE29" s="11">
        <f t="shared" si="2"/>
        <v>0</v>
      </c>
      <c r="AF29" s="11">
        <f t="shared" si="7"/>
        <v>0</v>
      </c>
      <c r="AH29" s="20"/>
      <c r="AN29" s="517"/>
      <c r="AP29" s="63"/>
      <c r="AQ29" s="20"/>
      <c r="AR29" s="11">
        <f t="shared" si="3"/>
        <v>0</v>
      </c>
      <c r="AS29" s="11">
        <f t="shared" si="8"/>
        <v>0</v>
      </c>
      <c r="AU29" s="20"/>
      <c r="BA29" s="517"/>
      <c r="BC29" s="63"/>
      <c r="BD29" s="20"/>
      <c r="BE29" s="11">
        <f t="shared" si="4"/>
        <v>0</v>
      </c>
      <c r="BF29" s="11">
        <f t="shared" si="9"/>
        <v>0</v>
      </c>
      <c r="BH29" s="20"/>
      <c r="BN29" s="517"/>
    </row>
    <row r="30" spans="1:66" x14ac:dyDescent="0.2">
      <c r="A30" s="22">
        <f>A28+1</f>
        <v>2021</v>
      </c>
      <c r="B30" s="1">
        <f>B28+1</f>
        <v>12</v>
      </c>
      <c r="C30" s="63"/>
      <c r="D30" s="20">
        <f>1/((1+D$3)^B30)</f>
        <v>0.70137988019297326</v>
      </c>
      <c r="E30" s="11">
        <f t="shared" si="0"/>
        <v>0</v>
      </c>
      <c r="F30" s="11">
        <f t="shared" si="5"/>
        <v>0</v>
      </c>
      <c r="G30" s="12">
        <f>G$6</f>
        <v>0</v>
      </c>
      <c r="H30" s="20">
        <f>IF(H$3=H$4,B30,(1+H$4)*(((1+H$3)^B30-(1+H$4)^B30)/((1+H$3)^B30*(H$3-H$4))))</f>
        <v>11.269033651548067</v>
      </c>
      <c r="J30" s="18">
        <f>G30*H30</f>
        <v>0</v>
      </c>
      <c r="K30" s="11">
        <f t="shared" ref="K30" si="194">K28</f>
        <v>0</v>
      </c>
      <c r="L30" s="11">
        <f t="shared" ref="L30" si="195">H30*K30</f>
        <v>0</v>
      </c>
      <c r="M30" s="12">
        <f t="shared" ref="M30" si="196">F30+J30+L30</f>
        <v>0</v>
      </c>
      <c r="N30" s="517" t="e">
        <f t="shared" si="12"/>
        <v>#DIV/0!</v>
      </c>
      <c r="O30" s="1">
        <f>O28+1</f>
        <v>12</v>
      </c>
      <c r="P30" s="63"/>
      <c r="Q30" s="20">
        <f>1/((1+Q$3)^O30)</f>
        <v>0.70137988019297326</v>
      </c>
      <c r="R30" s="11">
        <f t="shared" si="1"/>
        <v>0</v>
      </c>
      <c r="S30" s="11">
        <f t="shared" si="6"/>
        <v>0</v>
      </c>
      <c r="T30" s="12">
        <f>T$6</f>
        <v>0</v>
      </c>
      <c r="U30" s="21">
        <f>IF(U$3=U$4,O30,(1+U$4)*(((1+U$3)^O30-(1+U$4)^O30)/((1+U$3)^O30*(U$3-U$4))))</f>
        <v>11.269033651548067</v>
      </c>
      <c r="W30" s="18">
        <f>T30*U30</f>
        <v>0</v>
      </c>
      <c r="X30" s="11">
        <f t="shared" ref="X30" si="197">X28</f>
        <v>0</v>
      </c>
      <c r="Y30" s="11">
        <f t="shared" ref="Y30" si="198">U30*X30</f>
        <v>0</v>
      </c>
      <c r="Z30" s="12">
        <f t="shared" ref="Z30" si="199">S30+W30+Y30</f>
        <v>0</v>
      </c>
      <c r="AA30" s="517" t="e">
        <f t="shared" si="15"/>
        <v>#DIV/0!</v>
      </c>
      <c r="AB30" s="1">
        <f>AB28+1</f>
        <v>12</v>
      </c>
      <c r="AC30" s="63"/>
      <c r="AD30" s="20">
        <f>1/((1+AD$3)^AB30)</f>
        <v>0.70137988019297326</v>
      </c>
      <c r="AE30" s="11">
        <f t="shared" si="2"/>
        <v>0</v>
      </c>
      <c r="AF30" s="11">
        <f t="shared" si="7"/>
        <v>0</v>
      </c>
      <c r="AG30" s="12">
        <f>AG$6</f>
        <v>0</v>
      </c>
      <c r="AH30" s="21">
        <f>IF(AH$3=AH$4,AB30,(1+AH$4)*(((1+AH$3)^AB30-(1+AH$4)^AB30)/((1+AH$3)^AB30*(AH$3-AH$4))))</f>
        <v>11.269033651548067</v>
      </c>
      <c r="AJ30" s="18">
        <f>AG30*AH30</f>
        <v>0</v>
      </c>
      <c r="AK30" s="11">
        <f t="shared" ref="AK30" si="200">AK28</f>
        <v>0</v>
      </c>
      <c r="AL30" s="18">
        <f t="shared" ref="AL30" si="201">AH30*AK30</f>
        <v>0</v>
      </c>
      <c r="AM30" s="12">
        <f t="shared" ref="AM30" si="202">AF30+AJ30+AL30</f>
        <v>0</v>
      </c>
      <c r="AN30" s="517" t="e">
        <f t="shared" si="17"/>
        <v>#DIV/0!</v>
      </c>
      <c r="AO30" s="1">
        <f>AO28+1</f>
        <v>12</v>
      </c>
      <c r="AP30" s="63"/>
      <c r="AQ30" s="20">
        <f>1/((1+AQ$3)^AO30)</f>
        <v>0.70137988019297326</v>
      </c>
      <c r="AR30" s="11">
        <f t="shared" si="3"/>
        <v>0</v>
      </c>
      <c r="AS30" s="11">
        <f t="shared" si="8"/>
        <v>0</v>
      </c>
      <c r="AT30" s="12">
        <f>AT$6</f>
        <v>0</v>
      </c>
      <c r="AU30" s="21">
        <f>IF(AU$3=AU$4,AO30,(1+AU$4)*(((1+AU$3)^AO30-(1+AU$4)^AO30)/((1+AU$3)^AO30*(AU$3-AU$4))))</f>
        <v>11.269033651548067</v>
      </c>
      <c r="AW30" s="18">
        <f>AT30*AU30</f>
        <v>0</v>
      </c>
      <c r="AX30" s="11">
        <f t="shared" ref="AX30" si="203">AX28</f>
        <v>0</v>
      </c>
      <c r="AY30" s="11">
        <f t="shared" ref="AY30" si="204">AU30*AX30</f>
        <v>0</v>
      </c>
      <c r="AZ30" s="12">
        <f t="shared" ref="AZ30" si="205">AS30+AW30+AY30</f>
        <v>0</v>
      </c>
      <c r="BA30" s="517" t="e">
        <f t="shared" ref="BA30" si="206">BA$3/AZ30*1000</f>
        <v>#DIV/0!</v>
      </c>
      <c r="BB30" s="1">
        <f>BB28+1</f>
        <v>12</v>
      </c>
      <c r="BC30" s="63"/>
      <c r="BD30" s="20">
        <f>1/((1+BD$3)^BB30)</f>
        <v>0.70137988019297326</v>
      </c>
      <c r="BE30" s="11">
        <f t="shared" si="4"/>
        <v>0</v>
      </c>
      <c r="BF30" s="11">
        <f t="shared" si="9"/>
        <v>0</v>
      </c>
      <c r="BG30" s="12">
        <f>BG$6</f>
        <v>0</v>
      </c>
      <c r="BH30" s="21">
        <f>IF(BH$3=BH$4,BB30,(1+BH$4)*(((1+BH$3)^BB30-(1+BH$4)^BB30)/((1+BH$3)^BB30*(BH$3-BH$4))))</f>
        <v>11.269033651548067</v>
      </c>
      <c r="BJ30" s="18">
        <f>BG30*BH30</f>
        <v>0</v>
      </c>
      <c r="BK30" s="11">
        <f t="shared" ref="BK30" si="207">BK28</f>
        <v>0</v>
      </c>
      <c r="BL30" s="11">
        <f t="shared" ref="BL30" si="208">BH30*BK30</f>
        <v>0</v>
      </c>
      <c r="BM30" s="12">
        <f t="shared" ref="BM30" si="209">BF30+BJ30+BL30</f>
        <v>0</v>
      </c>
      <c r="BN30" s="517" t="e">
        <f t="shared" ref="BN30" si="210">BN$3/BM30*1000</f>
        <v>#DIV/0!</v>
      </c>
    </row>
    <row r="31" spans="1:66" x14ac:dyDescent="0.2">
      <c r="A31" s="23">
        <f>A30+0.5</f>
        <v>2021.5</v>
      </c>
      <c r="B31" s="1">
        <v>12.5</v>
      </c>
      <c r="C31" s="63">
        <f>SUM('Kosten Variante1'!P66:Q66)</f>
        <v>0</v>
      </c>
      <c r="D31" s="20">
        <f>1/((1+D$3)^B31)</f>
        <v>0.69109013106950024</v>
      </c>
      <c r="E31" s="11">
        <f t="shared" si="0"/>
        <v>0</v>
      </c>
      <c r="F31" s="11">
        <f t="shared" si="5"/>
        <v>0</v>
      </c>
      <c r="H31" s="20"/>
      <c r="N31" s="517"/>
      <c r="O31" s="1">
        <v>12.5</v>
      </c>
      <c r="P31" s="63">
        <f>SUM('Kosten Variante2'!P66:Q66)</f>
        <v>0</v>
      </c>
      <c r="Q31" s="20">
        <f>1/((1+Q$3)^O31)</f>
        <v>0.69109013106950024</v>
      </c>
      <c r="R31" s="11">
        <f t="shared" si="1"/>
        <v>0</v>
      </c>
      <c r="S31" s="11">
        <f t="shared" si="6"/>
        <v>0</v>
      </c>
      <c r="U31" s="21"/>
      <c r="AA31" s="517"/>
      <c r="AB31" s="1">
        <v>12.5</v>
      </c>
      <c r="AC31" s="63">
        <f>SUM('Kosten Variante3'!P66:Q66)</f>
        <v>0</v>
      </c>
      <c r="AD31" s="20">
        <f>1/((1+AD$3)^AB31)</f>
        <v>0.69109013106950024</v>
      </c>
      <c r="AE31" s="11">
        <f t="shared" si="2"/>
        <v>0</v>
      </c>
      <c r="AF31" s="11">
        <f t="shared" si="7"/>
        <v>0</v>
      </c>
      <c r="AH31" s="20"/>
      <c r="AN31" s="517"/>
      <c r="AO31" s="1">
        <v>12.5</v>
      </c>
      <c r="AP31" s="63">
        <f>SUM('Kosten Variante4'!P66:Q66)</f>
        <v>0</v>
      </c>
      <c r="AQ31" s="20">
        <f>1/((1+AQ$3)^AO31)</f>
        <v>0.69109013106950024</v>
      </c>
      <c r="AR31" s="11">
        <f t="shared" si="3"/>
        <v>0</v>
      </c>
      <c r="AS31" s="11">
        <f t="shared" si="8"/>
        <v>0</v>
      </c>
      <c r="AU31" s="20"/>
      <c r="BA31" s="517"/>
      <c r="BB31" s="1">
        <v>12.5</v>
      </c>
      <c r="BC31" s="63">
        <f>SUM('Kosten Variante5'!P66:Q66)</f>
        <v>0</v>
      </c>
      <c r="BD31" s="20">
        <f>1/((1+BD$3)^BB31)</f>
        <v>0.69109013106950024</v>
      </c>
      <c r="BE31" s="11">
        <f t="shared" si="4"/>
        <v>0</v>
      </c>
      <c r="BF31" s="11">
        <f t="shared" si="9"/>
        <v>0</v>
      </c>
      <c r="BH31" s="20"/>
      <c r="BN31" s="517"/>
    </row>
    <row r="32" spans="1:66" x14ac:dyDescent="0.2">
      <c r="A32" s="22">
        <f>A30+1</f>
        <v>2022</v>
      </c>
      <c r="B32" s="1">
        <f>B30+1</f>
        <v>13</v>
      </c>
      <c r="C32" s="63"/>
      <c r="D32" s="20">
        <f>1/((1+D$3)^B32)</f>
        <v>0.68095133999317792</v>
      </c>
      <c r="E32" s="11">
        <f t="shared" si="0"/>
        <v>0</v>
      </c>
      <c r="F32" s="11">
        <f t="shared" si="5"/>
        <v>0</v>
      </c>
      <c r="G32" s="12">
        <f>G$6</f>
        <v>0</v>
      </c>
      <c r="H32" s="20">
        <f>IF(H$3=H$4,B32,(1+H$4)*(((1+H$3)^B32-(1+H$4)^B32)/((1+H$3)^B32*(H$3-H$4))))</f>
        <v>12.149916819979644</v>
      </c>
      <c r="J32" s="18">
        <f>G32*H32</f>
        <v>0</v>
      </c>
      <c r="K32" s="11">
        <f t="shared" ref="K32" si="211">K30</f>
        <v>0</v>
      </c>
      <c r="L32" s="11">
        <f t="shared" ref="L32" si="212">H32*K32</f>
        <v>0</v>
      </c>
      <c r="M32" s="12">
        <f t="shared" ref="M32" si="213">F32+J32+L32</f>
        <v>0</v>
      </c>
      <c r="N32" s="517" t="e">
        <f t="shared" si="12"/>
        <v>#DIV/0!</v>
      </c>
      <c r="O32" s="1">
        <f>O30+1</f>
        <v>13</v>
      </c>
      <c r="P32" s="63"/>
      <c r="Q32" s="20">
        <f>1/((1+Q$3)^O32)</f>
        <v>0.68095133999317792</v>
      </c>
      <c r="R32" s="11">
        <f t="shared" si="1"/>
        <v>0</v>
      </c>
      <c r="S32" s="11">
        <f t="shared" si="6"/>
        <v>0</v>
      </c>
      <c r="T32" s="12">
        <f>T$6</f>
        <v>0</v>
      </c>
      <c r="U32" s="21">
        <f>IF(U$3=U$4,O32,(1+U$4)*(((1+U$3)^O32-(1+U$4)^O32)/((1+U$3)^O32*(U$3-U$4))))</f>
        <v>12.149916819979644</v>
      </c>
      <c r="W32" s="18">
        <f>T32*U32</f>
        <v>0</v>
      </c>
      <c r="X32" s="11">
        <f t="shared" ref="X32" si="214">X30</f>
        <v>0</v>
      </c>
      <c r="Y32" s="11">
        <f t="shared" ref="Y32" si="215">U32*X32</f>
        <v>0</v>
      </c>
      <c r="Z32" s="12">
        <f t="shared" ref="Z32" si="216">S32+W32+Y32</f>
        <v>0</v>
      </c>
      <c r="AA32" s="517" t="e">
        <f t="shared" si="15"/>
        <v>#DIV/0!</v>
      </c>
      <c r="AB32" s="1">
        <f>AB30+1</f>
        <v>13</v>
      </c>
      <c r="AC32" s="63"/>
      <c r="AD32" s="20">
        <f>1/((1+AD$3)^AB32)</f>
        <v>0.68095133999317792</v>
      </c>
      <c r="AE32" s="11">
        <f t="shared" si="2"/>
        <v>0</v>
      </c>
      <c r="AF32" s="11">
        <f t="shared" si="7"/>
        <v>0</v>
      </c>
      <c r="AG32" s="12">
        <f>AG$6</f>
        <v>0</v>
      </c>
      <c r="AH32" s="21">
        <f>IF(AH$3=AH$4,AB32,(1+AH$4)*(((1+AH$3)^AB32-(1+AH$4)^AB32)/((1+AH$3)^AB32*(AH$3-AH$4))))</f>
        <v>12.149916819979644</v>
      </c>
      <c r="AJ32" s="18">
        <f>AG32*AH32</f>
        <v>0</v>
      </c>
      <c r="AK32" s="11">
        <f t="shared" ref="AK32" si="217">AK30</f>
        <v>0</v>
      </c>
      <c r="AL32" s="18">
        <f t="shared" ref="AL32" si="218">AH32*AK32</f>
        <v>0</v>
      </c>
      <c r="AM32" s="12">
        <f t="shared" ref="AM32" si="219">AF32+AJ32+AL32</f>
        <v>0</v>
      </c>
      <c r="AN32" s="517" t="e">
        <f t="shared" si="17"/>
        <v>#DIV/0!</v>
      </c>
      <c r="AO32" s="1">
        <f>AO30+1</f>
        <v>13</v>
      </c>
      <c r="AP32" s="63"/>
      <c r="AQ32" s="20">
        <f>1/((1+AQ$3)^AO32)</f>
        <v>0.68095133999317792</v>
      </c>
      <c r="AR32" s="11">
        <f t="shared" si="3"/>
        <v>0</v>
      </c>
      <c r="AS32" s="11">
        <f t="shared" si="8"/>
        <v>0</v>
      </c>
      <c r="AT32" s="12">
        <f>AT$6</f>
        <v>0</v>
      </c>
      <c r="AU32" s="21">
        <f>IF(AU$3=AU$4,AO32,(1+AU$4)*(((1+AU$3)^AO32-(1+AU$4)^AO32)/((1+AU$3)^AO32*(AU$3-AU$4))))</f>
        <v>12.149916819979644</v>
      </c>
      <c r="AW32" s="18">
        <f>AT32*AU32</f>
        <v>0</v>
      </c>
      <c r="AX32" s="11">
        <f t="shared" ref="AX32" si="220">AX30</f>
        <v>0</v>
      </c>
      <c r="AY32" s="11">
        <f t="shared" ref="AY32" si="221">AU32*AX32</f>
        <v>0</v>
      </c>
      <c r="AZ32" s="12">
        <f t="shared" ref="AZ32" si="222">AS32+AW32+AY32</f>
        <v>0</v>
      </c>
      <c r="BA32" s="517" t="e">
        <f t="shared" ref="BA32" si="223">BA$3/AZ32*1000</f>
        <v>#DIV/0!</v>
      </c>
      <c r="BB32" s="1">
        <f>BB30+1</f>
        <v>13</v>
      </c>
      <c r="BC32" s="63"/>
      <c r="BD32" s="20">
        <f>1/((1+BD$3)^BB32)</f>
        <v>0.68095133999317792</v>
      </c>
      <c r="BE32" s="11">
        <f t="shared" si="4"/>
        <v>0</v>
      </c>
      <c r="BF32" s="11">
        <f t="shared" si="9"/>
        <v>0</v>
      </c>
      <c r="BG32" s="12">
        <f>BG$6</f>
        <v>0</v>
      </c>
      <c r="BH32" s="21">
        <f>IF(BH$3=BH$4,BB32,(1+BH$4)*(((1+BH$3)^BB32-(1+BH$4)^BB32)/((1+BH$3)^BB32*(BH$3-BH$4))))</f>
        <v>12.149916819979644</v>
      </c>
      <c r="BJ32" s="18">
        <f>BG32*BH32</f>
        <v>0</v>
      </c>
      <c r="BK32" s="11">
        <f t="shared" ref="BK32" si="224">BK30</f>
        <v>0</v>
      </c>
      <c r="BL32" s="11">
        <f t="shared" ref="BL32" si="225">BH32*BK32</f>
        <v>0</v>
      </c>
      <c r="BM32" s="12">
        <f t="shared" ref="BM32" si="226">BF32+BJ32+BL32</f>
        <v>0</v>
      </c>
      <c r="BN32" s="517" t="e">
        <f t="shared" ref="BN32" si="227">BN$3/BM32*1000</f>
        <v>#DIV/0!</v>
      </c>
    </row>
    <row r="33" spans="1:66" x14ac:dyDescent="0.2">
      <c r="A33" s="22"/>
      <c r="C33" s="63"/>
      <c r="D33" s="20"/>
      <c r="E33" s="11">
        <f t="shared" si="0"/>
        <v>0</v>
      </c>
      <c r="F33" s="11">
        <f t="shared" si="5"/>
        <v>0</v>
      </c>
      <c r="H33" s="20"/>
      <c r="N33" s="517"/>
      <c r="P33" s="63"/>
      <c r="Q33" s="20"/>
      <c r="R33" s="11">
        <f t="shared" si="1"/>
        <v>0</v>
      </c>
      <c r="S33" s="11">
        <f t="shared" si="6"/>
        <v>0</v>
      </c>
      <c r="U33" s="21"/>
      <c r="AA33" s="517"/>
      <c r="AC33" s="63"/>
      <c r="AD33" s="20"/>
      <c r="AE33" s="11">
        <f t="shared" si="2"/>
        <v>0</v>
      </c>
      <c r="AF33" s="11">
        <f t="shared" si="7"/>
        <v>0</v>
      </c>
      <c r="AH33" s="20"/>
      <c r="AN33" s="517"/>
      <c r="AP33" s="63"/>
      <c r="AQ33" s="20"/>
      <c r="AR33" s="11">
        <f t="shared" si="3"/>
        <v>0</v>
      </c>
      <c r="AS33" s="11">
        <f t="shared" si="8"/>
        <v>0</v>
      </c>
      <c r="AU33" s="20"/>
      <c r="BA33" s="517"/>
      <c r="BC33" s="63"/>
      <c r="BD33" s="20"/>
      <c r="BE33" s="11">
        <f t="shared" si="4"/>
        <v>0</v>
      </c>
      <c r="BF33" s="11">
        <f t="shared" si="9"/>
        <v>0</v>
      </c>
      <c r="BH33" s="20"/>
      <c r="BN33" s="517"/>
    </row>
    <row r="34" spans="1:66" x14ac:dyDescent="0.2">
      <c r="A34" s="1">
        <f>A32+1</f>
        <v>2023</v>
      </c>
      <c r="B34" s="1">
        <f>B32+1</f>
        <v>14</v>
      </c>
      <c r="C34" s="63"/>
      <c r="D34" s="20">
        <f>1/((1+D$3)^B34)</f>
        <v>0.66111780581861923</v>
      </c>
      <c r="E34" s="11">
        <f t="shared" si="0"/>
        <v>0</v>
      </c>
      <c r="F34" s="11">
        <f t="shared" si="5"/>
        <v>0</v>
      </c>
      <c r="G34" s="12">
        <f>G$6</f>
        <v>0</v>
      </c>
      <c r="H34" s="20">
        <f>IF(H$3=H$4,B34,(1+H$4)*(((1+H$3)^B34-(1+H$4)^B34)/((1+H$3)^B34*(H$3-H$4))))</f>
        <v>13.022247724640035</v>
      </c>
      <c r="J34" s="18">
        <f>G34*H34</f>
        <v>0</v>
      </c>
      <c r="K34" s="11">
        <f t="shared" ref="K34" si="228">K32</f>
        <v>0</v>
      </c>
      <c r="L34" s="11">
        <f t="shared" ref="L34" si="229">H34*K34</f>
        <v>0</v>
      </c>
      <c r="M34" s="12">
        <f t="shared" ref="M34" si="230">F34+J34+L34</f>
        <v>0</v>
      </c>
      <c r="N34" s="517" t="e">
        <f t="shared" si="12"/>
        <v>#DIV/0!</v>
      </c>
      <c r="O34" s="1">
        <f>O32+1</f>
        <v>14</v>
      </c>
      <c r="P34" s="63"/>
      <c r="Q34" s="20">
        <f>1/((1+Q$3)^O34)</f>
        <v>0.66111780581861923</v>
      </c>
      <c r="R34" s="11">
        <f t="shared" si="1"/>
        <v>0</v>
      </c>
      <c r="S34" s="11">
        <f t="shared" si="6"/>
        <v>0</v>
      </c>
      <c r="T34" s="12">
        <f>T$6</f>
        <v>0</v>
      </c>
      <c r="U34" s="21">
        <f>IF(U$3=U$4,O34,(1+U$4)*(((1+U$3)^O34-(1+U$4)^O34)/((1+U$3)^O34*(U$3-U$4))))</f>
        <v>13.022247724640035</v>
      </c>
      <c r="W34" s="18">
        <f>T34*U34</f>
        <v>0</v>
      </c>
      <c r="X34" s="11">
        <f t="shared" ref="X34" si="231">X32</f>
        <v>0</v>
      </c>
      <c r="Y34" s="11">
        <f t="shared" ref="Y34" si="232">U34*X34</f>
        <v>0</v>
      </c>
      <c r="Z34" s="12">
        <f t="shared" ref="Z34" si="233">S34+W34+Y34</f>
        <v>0</v>
      </c>
      <c r="AA34" s="517" t="e">
        <f t="shared" si="15"/>
        <v>#DIV/0!</v>
      </c>
      <c r="AB34" s="1">
        <f>AB32+1</f>
        <v>14</v>
      </c>
      <c r="AC34" s="63"/>
      <c r="AD34" s="20">
        <f>1/((1+AD$3)^AB34)</f>
        <v>0.66111780581861923</v>
      </c>
      <c r="AE34" s="11">
        <f t="shared" si="2"/>
        <v>0</v>
      </c>
      <c r="AF34" s="11">
        <f t="shared" si="7"/>
        <v>0</v>
      </c>
      <c r="AG34" s="12">
        <f>AG$6</f>
        <v>0</v>
      </c>
      <c r="AH34" s="21">
        <f>IF(AH$3=AH$4,AB34,(1+AH$4)*(((1+AH$3)^AB34-(1+AH$4)^AB34)/((1+AH$3)^AB34*(AH$3-AH$4))))</f>
        <v>13.022247724640035</v>
      </c>
      <c r="AJ34" s="18">
        <f>AG34*AH34</f>
        <v>0</v>
      </c>
      <c r="AK34" s="11">
        <f t="shared" ref="AK34" si="234">AK32</f>
        <v>0</v>
      </c>
      <c r="AL34" s="18">
        <f t="shared" ref="AL34" si="235">AH34*AK34</f>
        <v>0</v>
      </c>
      <c r="AM34" s="12">
        <f t="shared" ref="AM34" si="236">AF34+AJ34+AL34</f>
        <v>0</v>
      </c>
      <c r="AN34" s="517" t="e">
        <f t="shared" si="17"/>
        <v>#DIV/0!</v>
      </c>
      <c r="AO34" s="1">
        <f>AO32+1</f>
        <v>14</v>
      </c>
      <c r="AP34" s="63"/>
      <c r="AQ34" s="20">
        <f>1/((1+AQ$3)^AO34)</f>
        <v>0.66111780581861923</v>
      </c>
      <c r="AR34" s="11">
        <f t="shared" si="3"/>
        <v>0</v>
      </c>
      <c r="AS34" s="11">
        <f t="shared" si="8"/>
        <v>0</v>
      </c>
      <c r="AT34" s="12">
        <f>AT$6</f>
        <v>0</v>
      </c>
      <c r="AU34" s="21">
        <f>IF(AU$3=AU$4,AO34,(1+AU$4)*(((1+AU$3)^AO34-(1+AU$4)^AO34)/((1+AU$3)^AO34*(AU$3-AU$4))))</f>
        <v>13.022247724640035</v>
      </c>
      <c r="AW34" s="18">
        <f>AT34*AU34</f>
        <v>0</v>
      </c>
      <c r="AX34" s="11">
        <f t="shared" ref="AX34" si="237">AX32</f>
        <v>0</v>
      </c>
      <c r="AY34" s="11">
        <f t="shared" ref="AY34" si="238">AU34*AX34</f>
        <v>0</v>
      </c>
      <c r="AZ34" s="12">
        <f t="shared" ref="AZ34" si="239">AS34+AW34+AY34</f>
        <v>0</v>
      </c>
      <c r="BA34" s="517" t="e">
        <f t="shared" ref="BA34" si="240">BA$3/AZ34*1000</f>
        <v>#DIV/0!</v>
      </c>
      <c r="BB34" s="1">
        <f>BB32+1</f>
        <v>14</v>
      </c>
      <c r="BC34" s="63"/>
      <c r="BD34" s="20">
        <f>1/((1+BD$3)^BB34)</f>
        <v>0.66111780581861923</v>
      </c>
      <c r="BE34" s="11">
        <f t="shared" si="4"/>
        <v>0</v>
      </c>
      <c r="BF34" s="11">
        <f t="shared" si="9"/>
        <v>0</v>
      </c>
      <c r="BG34" s="12">
        <f>BG$6</f>
        <v>0</v>
      </c>
      <c r="BH34" s="21">
        <f>IF(BH$3=BH$4,BB34,(1+BH$4)*(((1+BH$3)^BB34-(1+BH$4)^BB34)/((1+BH$3)^BB34*(BH$3-BH$4))))</f>
        <v>13.022247724640035</v>
      </c>
      <c r="BJ34" s="18">
        <f>BG34*BH34</f>
        <v>0</v>
      </c>
      <c r="BK34" s="11">
        <f t="shared" ref="BK34" si="241">BK32</f>
        <v>0</v>
      </c>
      <c r="BL34" s="11">
        <f t="shared" ref="BL34" si="242">BH34*BK34</f>
        <v>0</v>
      </c>
      <c r="BM34" s="12">
        <f t="shared" ref="BM34" si="243">BF34+BJ34+BL34</f>
        <v>0</v>
      </c>
      <c r="BN34" s="517" t="e">
        <f t="shared" ref="BN34" si="244">BN$3/BM34*1000</f>
        <v>#DIV/0!</v>
      </c>
    </row>
    <row r="35" spans="1:66" x14ac:dyDescent="0.2">
      <c r="C35" s="63"/>
      <c r="D35" s="20"/>
      <c r="E35" s="11">
        <f t="shared" si="0"/>
        <v>0</v>
      </c>
      <c r="F35" s="11">
        <f t="shared" si="5"/>
        <v>0</v>
      </c>
      <c r="H35" s="20"/>
      <c r="N35" s="517"/>
      <c r="P35" s="63"/>
      <c r="Q35" s="20"/>
      <c r="R35" s="11">
        <f t="shared" si="1"/>
        <v>0</v>
      </c>
      <c r="S35" s="11">
        <f t="shared" si="6"/>
        <v>0</v>
      </c>
      <c r="U35" s="21"/>
      <c r="AA35" s="517"/>
      <c r="AC35" s="63"/>
      <c r="AD35" s="20"/>
      <c r="AE35" s="11">
        <f t="shared" si="2"/>
        <v>0</v>
      </c>
      <c r="AF35" s="11">
        <f t="shared" si="7"/>
        <v>0</v>
      </c>
      <c r="AH35" s="20"/>
      <c r="AN35" s="517"/>
      <c r="AP35" s="63"/>
      <c r="AQ35" s="20"/>
      <c r="AR35" s="11">
        <f t="shared" si="3"/>
        <v>0</v>
      </c>
      <c r="AS35" s="11">
        <f t="shared" si="8"/>
        <v>0</v>
      </c>
      <c r="AU35" s="20"/>
      <c r="BA35" s="517"/>
      <c r="BC35" s="63"/>
      <c r="BD35" s="20"/>
      <c r="BE35" s="11">
        <f t="shared" si="4"/>
        <v>0</v>
      </c>
      <c r="BF35" s="11">
        <f t="shared" si="9"/>
        <v>0</v>
      </c>
      <c r="BH35" s="20"/>
      <c r="BN35" s="517"/>
    </row>
    <row r="36" spans="1:66" x14ac:dyDescent="0.2">
      <c r="A36" s="1">
        <f>A34+1</f>
        <v>2024</v>
      </c>
      <c r="B36" s="1">
        <f>B34+1</f>
        <v>15</v>
      </c>
      <c r="C36" s="63"/>
      <c r="D36" s="20">
        <f>1/((1+D$3)^B36)</f>
        <v>0.64186194739671765</v>
      </c>
      <c r="E36" s="11">
        <f t="shared" si="0"/>
        <v>0</v>
      </c>
      <c r="F36" s="11">
        <f t="shared" si="5"/>
        <v>0</v>
      </c>
      <c r="G36" s="12">
        <f>G$6</f>
        <v>0</v>
      </c>
      <c r="H36" s="20">
        <f>IF(H$3=H$4,B36,(1+H$4)*(((1+H$3)^B36-(1+H$4)^B36)/((1+H$3)^B36*(H$3-H$4))))</f>
        <v>13.886109397216375</v>
      </c>
      <c r="J36" s="18">
        <f>G36*H36</f>
        <v>0</v>
      </c>
      <c r="K36" s="11">
        <f t="shared" ref="K36" si="245">K34</f>
        <v>0</v>
      </c>
      <c r="L36" s="11">
        <f t="shared" ref="L36" si="246">H36*K36</f>
        <v>0</v>
      </c>
      <c r="M36" s="12">
        <f t="shared" ref="M36" si="247">F36+J36+L36</f>
        <v>0</v>
      </c>
      <c r="N36" s="517" t="e">
        <f t="shared" si="12"/>
        <v>#DIV/0!</v>
      </c>
      <c r="O36" s="1">
        <f>O34+1</f>
        <v>15</v>
      </c>
      <c r="P36" s="63"/>
      <c r="Q36" s="20">
        <f>1/((1+Q$3)^O36)</f>
        <v>0.64186194739671765</v>
      </c>
      <c r="R36" s="11">
        <f t="shared" si="1"/>
        <v>0</v>
      </c>
      <c r="S36" s="11">
        <f t="shared" si="6"/>
        <v>0</v>
      </c>
      <c r="T36" s="12">
        <f>T$6</f>
        <v>0</v>
      </c>
      <c r="U36" s="21">
        <f>IF(U$3=U$4,O36,(1+U$4)*(((1+U$3)^O36-(1+U$4)^O36)/((1+U$3)^O36*(U$3-U$4))))</f>
        <v>13.886109397216375</v>
      </c>
      <c r="W36" s="18">
        <f>T36*U36</f>
        <v>0</v>
      </c>
      <c r="X36" s="11">
        <f t="shared" ref="X36" si="248">X34</f>
        <v>0</v>
      </c>
      <c r="Y36" s="11">
        <f t="shared" ref="Y36" si="249">U36*X36</f>
        <v>0</v>
      </c>
      <c r="Z36" s="12">
        <f t="shared" ref="Z36" si="250">S36+W36+Y36</f>
        <v>0</v>
      </c>
      <c r="AA36" s="517" t="e">
        <f t="shared" si="15"/>
        <v>#DIV/0!</v>
      </c>
      <c r="AB36" s="1">
        <f>AB34+1</f>
        <v>15</v>
      </c>
      <c r="AC36" s="63"/>
      <c r="AD36" s="20">
        <f>1/((1+AD$3)^AB36)</f>
        <v>0.64186194739671765</v>
      </c>
      <c r="AE36" s="11">
        <f t="shared" si="2"/>
        <v>0</v>
      </c>
      <c r="AF36" s="11">
        <f t="shared" si="7"/>
        <v>0</v>
      </c>
      <c r="AG36" s="12">
        <f>AG$6</f>
        <v>0</v>
      </c>
      <c r="AH36" s="21">
        <f>IF(AH$3=AH$4,AB36,(1+AH$4)*(((1+AH$3)^AB36-(1+AH$4)^AB36)/((1+AH$3)^AB36*(AH$3-AH$4))))</f>
        <v>13.886109397216375</v>
      </c>
      <c r="AJ36" s="18">
        <f>AG36*AH36</f>
        <v>0</v>
      </c>
      <c r="AK36" s="11">
        <f t="shared" ref="AK36" si="251">AK34</f>
        <v>0</v>
      </c>
      <c r="AL36" s="18">
        <f t="shared" ref="AL36" si="252">AH36*AK36</f>
        <v>0</v>
      </c>
      <c r="AM36" s="12">
        <f t="shared" ref="AM36" si="253">AF36+AJ36+AL36</f>
        <v>0</v>
      </c>
      <c r="AN36" s="517" t="e">
        <f t="shared" si="17"/>
        <v>#DIV/0!</v>
      </c>
      <c r="AO36" s="1">
        <f>AO34+1</f>
        <v>15</v>
      </c>
      <c r="AP36" s="63"/>
      <c r="AQ36" s="20">
        <f>1/((1+AQ$3)^AO36)</f>
        <v>0.64186194739671765</v>
      </c>
      <c r="AR36" s="11">
        <f t="shared" si="3"/>
        <v>0</v>
      </c>
      <c r="AS36" s="11">
        <f t="shared" si="8"/>
        <v>0</v>
      </c>
      <c r="AT36" s="12">
        <f>AT$6</f>
        <v>0</v>
      </c>
      <c r="AU36" s="21">
        <f>IF(AU$3=AU$4,AO36,(1+AU$4)*(((1+AU$3)^AO36-(1+AU$4)^AO36)/((1+AU$3)^AO36*(AU$3-AU$4))))</f>
        <v>13.886109397216375</v>
      </c>
      <c r="AW36" s="18">
        <f>AT36*AU36</f>
        <v>0</v>
      </c>
      <c r="AX36" s="11">
        <f t="shared" ref="AX36" si="254">AX34</f>
        <v>0</v>
      </c>
      <c r="AY36" s="11">
        <f t="shared" ref="AY36" si="255">AU36*AX36</f>
        <v>0</v>
      </c>
      <c r="AZ36" s="12">
        <f t="shared" ref="AZ36" si="256">AS36+AW36+AY36</f>
        <v>0</v>
      </c>
      <c r="BA36" s="517" t="e">
        <f t="shared" ref="BA36" si="257">BA$3/AZ36*1000</f>
        <v>#DIV/0!</v>
      </c>
      <c r="BB36" s="1">
        <f>BB34+1</f>
        <v>15</v>
      </c>
      <c r="BC36" s="63"/>
      <c r="BD36" s="20">
        <f>1/((1+BD$3)^BB36)</f>
        <v>0.64186194739671765</v>
      </c>
      <c r="BE36" s="11">
        <f t="shared" si="4"/>
        <v>0</v>
      </c>
      <c r="BF36" s="11">
        <f t="shared" si="9"/>
        <v>0</v>
      </c>
      <c r="BG36" s="12">
        <f>BG$6</f>
        <v>0</v>
      </c>
      <c r="BH36" s="21">
        <f>IF(BH$3=BH$4,BB36,(1+BH$4)*(((1+BH$3)^BB36-(1+BH$4)^BB36)/((1+BH$3)^BB36*(BH$3-BH$4))))</f>
        <v>13.886109397216375</v>
      </c>
      <c r="BJ36" s="18">
        <f>BG36*BH36</f>
        <v>0</v>
      </c>
      <c r="BK36" s="11">
        <f t="shared" ref="BK36" si="258">BK34</f>
        <v>0</v>
      </c>
      <c r="BL36" s="11">
        <f t="shared" ref="BL36" si="259">BH36*BK36</f>
        <v>0</v>
      </c>
      <c r="BM36" s="12">
        <f t="shared" ref="BM36" si="260">BF36+BJ36+BL36</f>
        <v>0</v>
      </c>
      <c r="BN36" s="517" t="e">
        <f t="shared" ref="BN36" si="261">BN$3/BM36*1000</f>
        <v>#DIV/0!</v>
      </c>
    </row>
    <row r="37" spans="1:66" x14ac:dyDescent="0.2">
      <c r="C37" s="63"/>
      <c r="D37" s="20"/>
      <c r="E37" s="11">
        <f t="shared" si="0"/>
        <v>0</v>
      </c>
      <c r="F37" s="11">
        <f t="shared" si="5"/>
        <v>0</v>
      </c>
      <c r="H37" s="20"/>
      <c r="N37" s="517"/>
      <c r="P37" s="63"/>
      <c r="Q37" s="20"/>
      <c r="R37" s="11">
        <f t="shared" si="1"/>
        <v>0</v>
      </c>
      <c r="S37" s="11">
        <f t="shared" si="6"/>
        <v>0</v>
      </c>
      <c r="U37" s="21"/>
      <c r="AA37" s="517"/>
      <c r="AC37" s="63"/>
      <c r="AD37" s="20"/>
      <c r="AE37" s="11">
        <f t="shared" si="2"/>
        <v>0</v>
      </c>
      <c r="AF37" s="11">
        <f t="shared" si="7"/>
        <v>0</v>
      </c>
      <c r="AH37" s="20"/>
      <c r="AN37" s="517"/>
      <c r="AP37" s="63"/>
      <c r="AQ37" s="20"/>
      <c r="AR37" s="11">
        <f t="shared" si="3"/>
        <v>0</v>
      </c>
      <c r="AS37" s="11">
        <f t="shared" si="8"/>
        <v>0</v>
      </c>
      <c r="AU37" s="20"/>
      <c r="BA37" s="517"/>
      <c r="BC37" s="63"/>
      <c r="BD37" s="20"/>
      <c r="BE37" s="11">
        <f t="shared" si="4"/>
        <v>0</v>
      </c>
      <c r="BF37" s="11">
        <f t="shared" si="9"/>
        <v>0</v>
      </c>
      <c r="BH37" s="20"/>
      <c r="BN37" s="517"/>
    </row>
    <row r="38" spans="1:66" x14ac:dyDescent="0.2">
      <c r="A38" s="1">
        <f>A36+1</f>
        <v>2025</v>
      </c>
      <c r="B38" s="1">
        <f>B36+1</f>
        <v>16</v>
      </c>
      <c r="C38" s="63"/>
      <c r="D38" s="20">
        <f>1/((1+D$3)^B38)</f>
        <v>0.62316693922011435</v>
      </c>
      <c r="E38" s="11">
        <f t="shared" ref="E38:E69" si="262">C38*D38</f>
        <v>0</v>
      </c>
      <c r="F38" s="11">
        <f t="shared" si="5"/>
        <v>0</v>
      </c>
      <c r="G38" s="12">
        <f>G$6</f>
        <v>0</v>
      </c>
      <c r="H38" s="20">
        <f>IF(H$3=H$4,B38,(1+H$4)*(((1+H$3)^B38-(1+H$4)^B38)/((1+H$3)^B38*(H$3-H$4))))</f>
        <v>14.74158406326279</v>
      </c>
      <c r="J38" s="18">
        <f>G38*H38</f>
        <v>0</v>
      </c>
      <c r="L38" s="527">
        <f>L$36</f>
        <v>0</v>
      </c>
      <c r="M38" s="12">
        <f t="shared" ref="M38" si="263">F38+J38+L38</f>
        <v>0</v>
      </c>
      <c r="N38" s="517" t="e">
        <f t="shared" si="12"/>
        <v>#DIV/0!</v>
      </c>
      <c r="O38" s="1">
        <f>O36+1</f>
        <v>16</v>
      </c>
      <c r="P38" s="63"/>
      <c r="Q38" s="20">
        <f>1/((1+Q$3)^O38)</f>
        <v>0.62316693922011435</v>
      </c>
      <c r="R38" s="11">
        <f t="shared" ref="R38:R69" si="264">P38*Q38</f>
        <v>0</v>
      </c>
      <c r="S38" s="11">
        <f t="shared" si="6"/>
        <v>0</v>
      </c>
      <c r="T38" s="12">
        <f>T$6</f>
        <v>0</v>
      </c>
      <c r="U38" s="21">
        <f>IF(U$3=U$4,O38,(1+U$4)*(((1+U$3)^O38-(1+U$4)^O38)/((1+U$3)^O38*(U$3-U$4))))</f>
        <v>14.74158406326279</v>
      </c>
      <c r="W38" s="18">
        <f>T38*U38</f>
        <v>0</v>
      </c>
      <c r="Y38" s="527">
        <f>Y$36</f>
        <v>0</v>
      </c>
      <c r="Z38" s="12">
        <f t="shared" ref="Z38" si="265">S38+W38+Y38</f>
        <v>0</v>
      </c>
      <c r="AA38" s="517" t="e">
        <f t="shared" si="15"/>
        <v>#DIV/0!</v>
      </c>
      <c r="AB38" s="1">
        <f>AB36+1</f>
        <v>16</v>
      </c>
      <c r="AC38" s="63"/>
      <c r="AD38" s="20">
        <f>1/((1+AD$3)^AB38)</f>
        <v>0.62316693922011435</v>
      </c>
      <c r="AE38" s="11">
        <f t="shared" ref="AE38:AE69" si="266">AC38*AD38</f>
        <v>0</v>
      </c>
      <c r="AF38" s="11">
        <f t="shared" si="7"/>
        <v>0</v>
      </c>
      <c r="AG38" s="12">
        <f>AG$6</f>
        <v>0</v>
      </c>
      <c r="AH38" s="21">
        <f>IF(AH$3=AH$4,AB38,(1+AH$4)*(((1+AH$3)^AB38-(1+AH$4)^AB38)/((1+AH$3)^AB38*(AH$3-AH$4))))</f>
        <v>14.74158406326279</v>
      </c>
      <c r="AJ38" s="18">
        <f>AG38*AH38</f>
        <v>0</v>
      </c>
      <c r="AL38" s="527">
        <f>AL$36</f>
        <v>0</v>
      </c>
      <c r="AM38" s="12">
        <f t="shared" ref="AM38" si="267">AF38+AJ38+AL38</f>
        <v>0</v>
      </c>
      <c r="AN38" s="517" t="e">
        <f t="shared" si="17"/>
        <v>#DIV/0!</v>
      </c>
      <c r="AO38" s="1">
        <f>AO36+1</f>
        <v>16</v>
      </c>
      <c r="AP38" s="63"/>
      <c r="AQ38" s="20">
        <f>1/((1+AQ$3)^AO38)</f>
        <v>0.62316693922011435</v>
      </c>
      <c r="AR38" s="11">
        <f t="shared" si="3"/>
        <v>0</v>
      </c>
      <c r="AS38" s="11">
        <f t="shared" si="8"/>
        <v>0</v>
      </c>
      <c r="AT38" s="12">
        <f>AT$6</f>
        <v>0</v>
      </c>
      <c r="AU38" s="21">
        <f>IF(AU$3=AU$4,AO38,(1+AU$4)*(((1+AU$3)^AO38-(1+AU$4)^AO38)/((1+AU$3)^AO38*(AU$3-AU$4))))</f>
        <v>14.74158406326279</v>
      </c>
      <c r="AW38" s="18">
        <f>AT38*AU38</f>
        <v>0</v>
      </c>
      <c r="AY38" s="527">
        <f>AY$36</f>
        <v>0</v>
      </c>
      <c r="AZ38" s="12">
        <f t="shared" ref="AZ38" si="268">AS38+AW38+AY38</f>
        <v>0</v>
      </c>
      <c r="BA38" s="517" t="e">
        <f t="shared" ref="BA38" si="269">BA$3/AZ38*1000</f>
        <v>#DIV/0!</v>
      </c>
      <c r="BB38" s="1">
        <f>BB36+1</f>
        <v>16</v>
      </c>
      <c r="BC38" s="63"/>
      <c r="BD38" s="20">
        <f>1/((1+BD$3)^BB38)</f>
        <v>0.62316693922011435</v>
      </c>
      <c r="BE38" s="11">
        <f t="shared" si="4"/>
        <v>0</v>
      </c>
      <c r="BF38" s="11">
        <f t="shared" si="9"/>
        <v>0</v>
      </c>
      <c r="BG38" s="12">
        <f>BG$6</f>
        <v>0</v>
      </c>
      <c r="BH38" s="21">
        <f>IF(BH$3=BH$4,BB38,(1+BH$4)*(((1+BH$3)^BB38-(1+BH$4)^BB38)/((1+BH$3)^BB38*(BH$3-BH$4))))</f>
        <v>14.74158406326279</v>
      </c>
      <c r="BJ38" s="18">
        <f>BG38*BH38</f>
        <v>0</v>
      </c>
      <c r="BL38" s="527">
        <f>BL$36</f>
        <v>0</v>
      </c>
      <c r="BM38" s="12">
        <f t="shared" ref="BM38" si="270">BF38+BJ38+BL38</f>
        <v>0</v>
      </c>
      <c r="BN38" s="517" t="e">
        <f t="shared" ref="BN38" si="271">BN$3/BM38*1000</f>
        <v>#DIV/0!</v>
      </c>
    </row>
    <row r="39" spans="1:66" x14ac:dyDescent="0.2">
      <c r="C39" s="63"/>
      <c r="D39" s="20"/>
      <c r="E39" s="11">
        <f t="shared" si="262"/>
        <v>0</v>
      </c>
      <c r="F39" s="11">
        <f t="shared" ref="F39:F70" si="272">F38+E39</f>
        <v>0</v>
      </c>
      <c r="H39" s="20"/>
      <c r="L39" s="527"/>
      <c r="N39" s="517"/>
      <c r="P39" s="63"/>
      <c r="Q39" s="20"/>
      <c r="R39" s="11">
        <f t="shared" si="264"/>
        <v>0</v>
      </c>
      <c r="S39" s="11">
        <f t="shared" ref="S39:S70" si="273">S38+R39</f>
        <v>0</v>
      </c>
      <c r="U39" s="21"/>
      <c r="Y39" s="527"/>
      <c r="AA39" s="517"/>
      <c r="AC39" s="63"/>
      <c r="AD39" s="20"/>
      <c r="AE39" s="11">
        <f t="shared" si="266"/>
        <v>0</v>
      </c>
      <c r="AF39" s="11">
        <f t="shared" ref="AF39:AF70" si="274">AF38+AE39</f>
        <v>0</v>
      </c>
      <c r="AH39" s="20"/>
      <c r="AN39" s="517"/>
      <c r="AP39" s="63"/>
      <c r="AQ39" s="20"/>
      <c r="AR39" s="11">
        <f t="shared" si="3"/>
        <v>0</v>
      </c>
      <c r="AS39" s="11">
        <f t="shared" si="8"/>
        <v>0</v>
      </c>
      <c r="AU39" s="20"/>
      <c r="AY39" s="527"/>
      <c r="BA39" s="517"/>
      <c r="BC39" s="63"/>
      <c r="BD39" s="20"/>
      <c r="BE39" s="11">
        <f t="shared" si="4"/>
        <v>0</v>
      </c>
      <c r="BF39" s="11">
        <f t="shared" si="9"/>
        <v>0</v>
      </c>
      <c r="BH39" s="20"/>
      <c r="BL39" s="527"/>
      <c r="BN39" s="517"/>
    </row>
    <row r="40" spans="1:66" x14ac:dyDescent="0.2">
      <c r="A40" s="1">
        <f>A38+1</f>
        <v>2026</v>
      </c>
      <c r="B40" s="1">
        <f>B38+1</f>
        <v>17</v>
      </c>
      <c r="C40" s="63"/>
      <c r="D40" s="20">
        <f>1/((1+D$3)^B40)</f>
        <v>0.60501644584477121</v>
      </c>
      <c r="E40" s="11">
        <f t="shared" si="262"/>
        <v>0</v>
      </c>
      <c r="F40" s="11">
        <f t="shared" si="272"/>
        <v>0</v>
      </c>
      <c r="G40" s="12">
        <f>G$6</f>
        <v>0</v>
      </c>
      <c r="H40" s="20">
        <f>IF(H$3=H$4,B40,(1+H$4)*(((1+H$3)^B40-(1+H$4)^B40)/((1+H$3)^B40*(H$3-H$4))))</f>
        <v>15.588753150027218</v>
      </c>
      <c r="J40" s="18">
        <f>G40*H40</f>
        <v>0</v>
      </c>
      <c r="L40" s="527">
        <f t="shared" ref="L40" si="275">L$36</f>
        <v>0</v>
      </c>
      <c r="M40" s="12">
        <f t="shared" ref="M40" si="276">F40+J40+L40</f>
        <v>0</v>
      </c>
      <c r="N40" s="517" t="e">
        <f t="shared" si="12"/>
        <v>#DIV/0!</v>
      </c>
      <c r="O40" s="1">
        <f>O38+1</f>
        <v>17</v>
      </c>
      <c r="P40" s="63"/>
      <c r="Q40" s="20">
        <f>1/((1+Q$3)^O40)</f>
        <v>0.60501644584477121</v>
      </c>
      <c r="R40" s="11">
        <f t="shared" si="264"/>
        <v>0</v>
      </c>
      <c r="S40" s="11">
        <f t="shared" si="273"/>
        <v>0</v>
      </c>
      <c r="T40" s="12">
        <f>T$6</f>
        <v>0</v>
      </c>
      <c r="U40" s="21">
        <f>IF(U$3=U$4,O40,(1+U$4)*(((1+U$3)^O40-(1+U$4)^O40)/((1+U$3)^O40*(U$3-U$4))))</f>
        <v>15.588753150027218</v>
      </c>
      <c r="W40" s="18">
        <f>T40*U40</f>
        <v>0</v>
      </c>
      <c r="Y40" s="527">
        <f t="shared" ref="Y40" si="277">Y$36</f>
        <v>0</v>
      </c>
      <c r="Z40" s="12">
        <f t="shared" ref="Z40" si="278">S40+W40+Y40</f>
        <v>0</v>
      </c>
      <c r="AA40" s="517" t="e">
        <f t="shared" si="15"/>
        <v>#DIV/0!</v>
      </c>
      <c r="AB40" s="1">
        <f>AB38+1</f>
        <v>17</v>
      </c>
      <c r="AC40" s="63"/>
      <c r="AD40" s="20">
        <f>1/((1+AD$3)^AB40)</f>
        <v>0.60501644584477121</v>
      </c>
      <c r="AE40" s="11">
        <f t="shared" si="266"/>
        <v>0</v>
      </c>
      <c r="AF40" s="11">
        <f t="shared" si="274"/>
        <v>0</v>
      </c>
      <c r="AG40" s="12">
        <f>AG$6</f>
        <v>0</v>
      </c>
      <c r="AH40" s="21">
        <f>IF(AH$3=AH$4,AB40,(1+AH$4)*(((1+AH$3)^AB40-(1+AH$4)^AB40)/((1+AH$3)^AB40*(AH$3-AH$4))))</f>
        <v>15.588753150027218</v>
      </c>
      <c r="AJ40" s="18">
        <f>AG40*AH40</f>
        <v>0</v>
      </c>
      <c r="AL40" s="527">
        <f t="shared" ref="AL40" si="279">AL$36</f>
        <v>0</v>
      </c>
      <c r="AM40" s="12">
        <f t="shared" ref="AM40" si="280">AF40+AJ40+AL40</f>
        <v>0</v>
      </c>
      <c r="AN40" s="517" t="e">
        <f t="shared" si="17"/>
        <v>#DIV/0!</v>
      </c>
      <c r="AO40" s="1">
        <f>AO38+1</f>
        <v>17</v>
      </c>
      <c r="AP40" s="63"/>
      <c r="AQ40" s="20">
        <f>1/((1+AQ$3)^AO40)</f>
        <v>0.60501644584477121</v>
      </c>
      <c r="AR40" s="11">
        <f t="shared" si="3"/>
        <v>0</v>
      </c>
      <c r="AS40" s="11">
        <f t="shared" si="8"/>
        <v>0</v>
      </c>
      <c r="AT40" s="12">
        <f>AT$6</f>
        <v>0</v>
      </c>
      <c r="AU40" s="21">
        <f>IF(AU$3=AU$4,AO40,(1+AU$4)*(((1+AU$3)^AO40-(1+AU$4)^AO40)/((1+AU$3)^AO40*(AU$3-AU$4))))</f>
        <v>15.588753150027218</v>
      </c>
      <c r="AW40" s="18">
        <f>AT40*AU40</f>
        <v>0</v>
      </c>
      <c r="AY40" s="527">
        <f t="shared" ref="AY40" si="281">AY$36</f>
        <v>0</v>
      </c>
      <c r="AZ40" s="12">
        <f t="shared" ref="AZ40" si="282">AS40+AW40+AY40</f>
        <v>0</v>
      </c>
      <c r="BA40" s="517" t="e">
        <f t="shared" ref="BA40" si="283">BA$3/AZ40*1000</f>
        <v>#DIV/0!</v>
      </c>
      <c r="BB40" s="1">
        <f>BB38+1</f>
        <v>17</v>
      </c>
      <c r="BC40" s="63"/>
      <c r="BD40" s="20">
        <f>1/((1+BD$3)^BB40)</f>
        <v>0.60501644584477121</v>
      </c>
      <c r="BE40" s="11">
        <f t="shared" si="4"/>
        <v>0</v>
      </c>
      <c r="BF40" s="11">
        <f t="shared" si="9"/>
        <v>0</v>
      </c>
      <c r="BG40" s="12">
        <f>BG$6</f>
        <v>0</v>
      </c>
      <c r="BH40" s="21">
        <f>IF(BH$3=BH$4,BB40,(1+BH$4)*(((1+BH$3)^BB40-(1+BH$4)^BB40)/((1+BH$3)^BB40*(BH$3-BH$4))))</f>
        <v>15.588753150027218</v>
      </c>
      <c r="BJ40" s="18">
        <f>BG40*BH40</f>
        <v>0</v>
      </c>
      <c r="BL40" s="527">
        <f t="shared" ref="BL40" si="284">BL$36</f>
        <v>0</v>
      </c>
      <c r="BM40" s="12">
        <f t="shared" ref="BM40" si="285">BF40+BJ40+BL40</f>
        <v>0</v>
      </c>
      <c r="BN40" s="517" t="e">
        <f t="shared" ref="BN40" si="286">BN$3/BM40*1000</f>
        <v>#DIV/0!</v>
      </c>
    </row>
    <row r="41" spans="1:66" x14ac:dyDescent="0.2">
      <c r="C41" s="63"/>
      <c r="D41" s="20"/>
      <c r="E41" s="11">
        <f t="shared" si="262"/>
        <v>0</v>
      </c>
      <c r="F41" s="11">
        <f t="shared" si="272"/>
        <v>0</v>
      </c>
      <c r="H41" s="20"/>
      <c r="L41" s="527"/>
      <c r="N41" s="517"/>
      <c r="P41" s="63"/>
      <c r="Q41" s="20"/>
      <c r="R41" s="11">
        <f t="shared" si="264"/>
        <v>0</v>
      </c>
      <c r="S41" s="11">
        <f t="shared" si="273"/>
        <v>0</v>
      </c>
      <c r="U41" s="21"/>
      <c r="Y41" s="527"/>
      <c r="AA41" s="517"/>
      <c r="AC41" s="63"/>
      <c r="AD41" s="20"/>
      <c r="AE41" s="11">
        <f t="shared" si="266"/>
        <v>0</v>
      </c>
      <c r="AF41" s="11">
        <f t="shared" si="274"/>
        <v>0</v>
      </c>
      <c r="AH41" s="20"/>
      <c r="AN41" s="517"/>
      <c r="AP41" s="63"/>
      <c r="AQ41" s="20"/>
      <c r="AR41" s="11">
        <f t="shared" si="3"/>
        <v>0</v>
      </c>
      <c r="AS41" s="11">
        <f t="shared" si="8"/>
        <v>0</v>
      </c>
      <c r="AU41" s="20"/>
      <c r="AY41" s="527"/>
      <c r="BA41" s="517"/>
      <c r="BC41" s="63"/>
      <c r="BD41" s="20"/>
      <c r="BE41" s="11">
        <f t="shared" si="4"/>
        <v>0</v>
      </c>
      <c r="BF41" s="11">
        <f t="shared" si="9"/>
        <v>0</v>
      </c>
      <c r="BH41" s="20"/>
      <c r="BL41" s="527"/>
      <c r="BN41" s="517"/>
    </row>
    <row r="42" spans="1:66" x14ac:dyDescent="0.2">
      <c r="A42" s="1">
        <f>A40+1</f>
        <v>2027</v>
      </c>
      <c r="B42" s="1">
        <f>B40+1</f>
        <v>18</v>
      </c>
      <c r="C42" s="63"/>
      <c r="D42" s="20">
        <f>1/((1+D$3)^B42)</f>
        <v>0.5873946076162827</v>
      </c>
      <c r="E42" s="11">
        <f t="shared" si="262"/>
        <v>0</v>
      </c>
      <c r="F42" s="11">
        <f t="shared" si="272"/>
        <v>0</v>
      </c>
      <c r="G42" s="12">
        <f>G$6</f>
        <v>0</v>
      </c>
      <c r="H42" s="20">
        <f>IF(H$3=H$4,B42,(1+H$4)*(((1+H$3)^B42-(1+H$4)^B42)/((1+H$3)^B42*(H$3-H$4))))</f>
        <v>16.427697294201728</v>
      </c>
      <c r="J42" s="18">
        <f>G42*H42</f>
        <v>0</v>
      </c>
      <c r="L42" s="527">
        <f t="shared" ref="L42" si="287">L$36</f>
        <v>0</v>
      </c>
      <c r="M42" s="12">
        <f t="shared" ref="M42" si="288">F42+J42+L42</f>
        <v>0</v>
      </c>
      <c r="N42" s="517" t="e">
        <f t="shared" si="12"/>
        <v>#DIV/0!</v>
      </c>
      <c r="O42" s="1">
        <f>O40+1</f>
        <v>18</v>
      </c>
      <c r="P42" s="63"/>
      <c r="Q42" s="20">
        <f>1/((1+Q$3)^O42)</f>
        <v>0.5873946076162827</v>
      </c>
      <c r="R42" s="11">
        <f t="shared" si="264"/>
        <v>0</v>
      </c>
      <c r="S42" s="11">
        <f t="shared" si="273"/>
        <v>0</v>
      </c>
      <c r="T42" s="12">
        <f>T$6</f>
        <v>0</v>
      </c>
      <c r="U42" s="21">
        <f>IF(U$3=U$4,O42,(1+U$4)*(((1+U$3)^O42-(1+U$4)^O42)/((1+U$3)^O42*(U$3-U$4))))</f>
        <v>16.427697294201728</v>
      </c>
      <c r="W42" s="18">
        <f>T42*U42</f>
        <v>0</v>
      </c>
      <c r="Y42" s="527">
        <f t="shared" ref="Y42" si="289">Y$36</f>
        <v>0</v>
      </c>
      <c r="Z42" s="12">
        <f t="shared" ref="Z42" si="290">S42+W42+Y42</f>
        <v>0</v>
      </c>
      <c r="AA42" s="517" t="e">
        <f t="shared" si="15"/>
        <v>#DIV/0!</v>
      </c>
      <c r="AB42" s="1">
        <f>AB40+1</f>
        <v>18</v>
      </c>
      <c r="AC42" s="63"/>
      <c r="AD42" s="20">
        <f>1/((1+AD$3)^AB42)</f>
        <v>0.5873946076162827</v>
      </c>
      <c r="AE42" s="11">
        <f t="shared" si="266"/>
        <v>0</v>
      </c>
      <c r="AF42" s="11">
        <f t="shared" si="274"/>
        <v>0</v>
      </c>
      <c r="AG42" s="12">
        <f>AG$6</f>
        <v>0</v>
      </c>
      <c r="AH42" s="21">
        <f>IF(AH$3=AH$4,AB42,(1+AH$4)*(((1+AH$3)^AB42-(1+AH$4)^AB42)/((1+AH$3)^AB42*(AH$3-AH$4))))</f>
        <v>16.427697294201728</v>
      </c>
      <c r="AJ42" s="18">
        <f>AG42*AH42</f>
        <v>0</v>
      </c>
      <c r="AL42" s="527">
        <f t="shared" ref="AL42" si="291">AL$36</f>
        <v>0</v>
      </c>
      <c r="AM42" s="12">
        <f t="shared" ref="AM42" si="292">AF42+AJ42+AL42</f>
        <v>0</v>
      </c>
      <c r="AN42" s="517" t="e">
        <f t="shared" si="17"/>
        <v>#DIV/0!</v>
      </c>
      <c r="AO42" s="1">
        <f>AO40+1</f>
        <v>18</v>
      </c>
      <c r="AP42" s="63"/>
      <c r="AQ42" s="20">
        <f>1/((1+AQ$3)^AO42)</f>
        <v>0.5873946076162827</v>
      </c>
      <c r="AR42" s="11">
        <f t="shared" si="3"/>
        <v>0</v>
      </c>
      <c r="AS42" s="11">
        <f t="shared" si="8"/>
        <v>0</v>
      </c>
      <c r="AT42" s="12">
        <f>AT$6</f>
        <v>0</v>
      </c>
      <c r="AU42" s="21">
        <f>IF(AU$3=AU$4,AO42,(1+AU$4)*(((1+AU$3)^AO42-(1+AU$4)^AO42)/((1+AU$3)^AO42*(AU$3-AU$4))))</f>
        <v>16.427697294201728</v>
      </c>
      <c r="AW42" s="18">
        <f>AT42*AU42</f>
        <v>0</v>
      </c>
      <c r="AY42" s="527">
        <f t="shared" ref="AY42" si="293">AY$36</f>
        <v>0</v>
      </c>
      <c r="AZ42" s="12">
        <f t="shared" ref="AZ42" si="294">AS42+AW42+AY42</f>
        <v>0</v>
      </c>
      <c r="BA42" s="517" t="e">
        <f t="shared" ref="BA42" si="295">BA$3/AZ42*1000</f>
        <v>#DIV/0!</v>
      </c>
      <c r="BB42" s="1">
        <f>BB40+1</f>
        <v>18</v>
      </c>
      <c r="BC42" s="63"/>
      <c r="BD42" s="20">
        <f>1/((1+BD$3)^BB42)</f>
        <v>0.5873946076162827</v>
      </c>
      <c r="BE42" s="11">
        <f t="shared" si="4"/>
        <v>0</v>
      </c>
      <c r="BF42" s="11">
        <f t="shared" si="9"/>
        <v>0</v>
      </c>
      <c r="BG42" s="12">
        <f>BG$6</f>
        <v>0</v>
      </c>
      <c r="BH42" s="21">
        <f>IF(BH$3=BH$4,BB42,(1+BH$4)*(((1+BH$3)^BB42-(1+BH$4)^BB42)/((1+BH$3)^BB42*(BH$3-BH$4))))</f>
        <v>16.427697294201728</v>
      </c>
      <c r="BJ42" s="18">
        <f>BG42*BH42</f>
        <v>0</v>
      </c>
      <c r="BL42" s="527">
        <f t="shared" ref="BL42" si="296">BL$36</f>
        <v>0</v>
      </c>
      <c r="BM42" s="12">
        <f t="shared" ref="BM42" si="297">BF42+BJ42+BL42</f>
        <v>0</v>
      </c>
      <c r="BN42" s="517" t="e">
        <f t="shared" ref="BN42" si="298">BN$3/BM42*1000</f>
        <v>#DIV/0!</v>
      </c>
    </row>
    <row r="43" spans="1:66" x14ac:dyDescent="0.2">
      <c r="C43" s="63"/>
      <c r="D43" s="20"/>
      <c r="E43" s="11">
        <f t="shared" si="262"/>
        <v>0</v>
      </c>
      <c r="F43" s="11">
        <f t="shared" si="272"/>
        <v>0</v>
      </c>
      <c r="H43" s="20"/>
      <c r="L43" s="527"/>
      <c r="N43" s="517"/>
      <c r="P43" s="63"/>
      <c r="Q43" s="20"/>
      <c r="R43" s="11">
        <f t="shared" si="264"/>
        <v>0</v>
      </c>
      <c r="S43" s="11">
        <f t="shared" si="273"/>
        <v>0</v>
      </c>
      <c r="U43" s="21"/>
      <c r="Y43" s="527"/>
      <c r="AA43" s="517"/>
      <c r="AC43" s="63"/>
      <c r="AD43" s="20"/>
      <c r="AE43" s="11">
        <f t="shared" si="266"/>
        <v>0</v>
      </c>
      <c r="AF43" s="11">
        <f t="shared" si="274"/>
        <v>0</v>
      </c>
      <c r="AH43" s="20"/>
      <c r="AN43" s="517"/>
      <c r="AP43" s="63"/>
      <c r="AQ43" s="20"/>
      <c r="AR43" s="11">
        <f t="shared" si="3"/>
        <v>0</v>
      </c>
      <c r="AS43" s="11">
        <f t="shared" si="8"/>
        <v>0</v>
      </c>
      <c r="AU43" s="20"/>
      <c r="AY43" s="527"/>
      <c r="BA43" s="517"/>
      <c r="BC43" s="63"/>
      <c r="BD43" s="20"/>
      <c r="BE43" s="11">
        <f t="shared" si="4"/>
        <v>0</v>
      </c>
      <c r="BF43" s="11">
        <f t="shared" si="9"/>
        <v>0</v>
      </c>
      <c r="BH43" s="20"/>
      <c r="BL43" s="527"/>
      <c r="BN43" s="517"/>
    </row>
    <row r="44" spans="1:66" x14ac:dyDescent="0.2">
      <c r="A44" s="1">
        <f>A42+1</f>
        <v>2028</v>
      </c>
      <c r="B44" s="1">
        <f>B42+1</f>
        <v>19</v>
      </c>
      <c r="C44" s="63"/>
      <c r="D44" s="20">
        <f>1/((1+D$3)^B44)</f>
        <v>0.57028602681192497</v>
      </c>
      <c r="E44" s="11">
        <f t="shared" si="262"/>
        <v>0</v>
      </c>
      <c r="F44" s="11">
        <f t="shared" si="272"/>
        <v>0</v>
      </c>
      <c r="G44" s="12">
        <f>G$6</f>
        <v>0</v>
      </c>
      <c r="H44" s="20">
        <f>IF(H$3=H$4,B44,(1+H$4)*(((1+H$3)^B44-(1+H$4)^B44)/((1+H$3)^B44*(H$3-H$4))))</f>
        <v>17.258496349597824</v>
      </c>
      <c r="J44" s="18">
        <f>G44*H44</f>
        <v>0</v>
      </c>
      <c r="L44" s="527">
        <f t="shared" ref="L44" si="299">L$36</f>
        <v>0</v>
      </c>
      <c r="M44" s="12">
        <f t="shared" ref="M44" si="300">F44+J44+L44</f>
        <v>0</v>
      </c>
      <c r="N44" s="517" t="e">
        <f t="shared" si="12"/>
        <v>#DIV/0!</v>
      </c>
      <c r="O44" s="1">
        <f>O42+1</f>
        <v>19</v>
      </c>
      <c r="P44" s="63"/>
      <c r="Q44" s="20">
        <f>1/((1+Q$3)^O44)</f>
        <v>0.57028602681192497</v>
      </c>
      <c r="R44" s="11">
        <f t="shared" si="264"/>
        <v>0</v>
      </c>
      <c r="S44" s="11">
        <f t="shared" si="273"/>
        <v>0</v>
      </c>
      <c r="T44" s="12">
        <f>T$6</f>
        <v>0</v>
      </c>
      <c r="U44" s="21">
        <f>IF(U$3=U$4,O44,(1+U$4)*(((1+U$3)^O44-(1+U$4)^O44)/((1+U$3)^O44*(U$3-U$4))))</f>
        <v>17.258496349597824</v>
      </c>
      <c r="W44" s="18">
        <f>T44*U44</f>
        <v>0</v>
      </c>
      <c r="Y44" s="527">
        <f t="shared" ref="Y44" si="301">Y$36</f>
        <v>0</v>
      </c>
      <c r="Z44" s="12">
        <f t="shared" ref="Z44" si="302">S44+W44+Y44</f>
        <v>0</v>
      </c>
      <c r="AA44" s="517" t="e">
        <f t="shared" si="15"/>
        <v>#DIV/0!</v>
      </c>
      <c r="AB44" s="1">
        <f>AB42+1</f>
        <v>19</v>
      </c>
      <c r="AC44" s="63"/>
      <c r="AD44" s="20">
        <f>1/((1+AD$3)^AB44)</f>
        <v>0.57028602681192497</v>
      </c>
      <c r="AE44" s="11">
        <f t="shared" si="266"/>
        <v>0</v>
      </c>
      <c r="AF44" s="11">
        <f t="shared" si="274"/>
        <v>0</v>
      </c>
      <c r="AG44" s="12">
        <f>AG$6</f>
        <v>0</v>
      </c>
      <c r="AH44" s="21">
        <f>IF(AH$3=AH$4,AB44,(1+AH$4)*(((1+AH$3)^AB44-(1+AH$4)^AB44)/((1+AH$3)^AB44*(AH$3-AH$4))))</f>
        <v>17.258496349597824</v>
      </c>
      <c r="AJ44" s="18">
        <f>AG44*AH44</f>
        <v>0</v>
      </c>
      <c r="AL44" s="527">
        <f t="shared" ref="AL44" si="303">AL$36</f>
        <v>0</v>
      </c>
      <c r="AM44" s="12">
        <f t="shared" ref="AM44" si="304">AF44+AJ44+AL44</f>
        <v>0</v>
      </c>
      <c r="AN44" s="517" t="e">
        <f t="shared" si="17"/>
        <v>#DIV/0!</v>
      </c>
      <c r="AO44" s="1">
        <f>AO42+1</f>
        <v>19</v>
      </c>
      <c r="AP44" s="63"/>
      <c r="AQ44" s="20">
        <f>1/((1+AQ$3)^AO44)</f>
        <v>0.57028602681192497</v>
      </c>
      <c r="AR44" s="11">
        <f t="shared" si="3"/>
        <v>0</v>
      </c>
      <c r="AS44" s="11">
        <f t="shared" si="8"/>
        <v>0</v>
      </c>
      <c r="AT44" s="12">
        <f>AT$6</f>
        <v>0</v>
      </c>
      <c r="AU44" s="21">
        <f>IF(AU$3=AU$4,AO44,(1+AU$4)*(((1+AU$3)^AO44-(1+AU$4)^AO44)/((1+AU$3)^AO44*(AU$3-AU$4))))</f>
        <v>17.258496349597824</v>
      </c>
      <c r="AW44" s="18">
        <f>AT44*AU44</f>
        <v>0</v>
      </c>
      <c r="AY44" s="527">
        <f t="shared" ref="AY44" si="305">AY$36</f>
        <v>0</v>
      </c>
      <c r="AZ44" s="12">
        <f t="shared" ref="AZ44" si="306">AS44+AW44+AY44</f>
        <v>0</v>
      </c>
      <c r="BA44" s="517" t="e">
        <f t="shared" ref="BA44" si="307">BA$3/AZ44*1000</f>
        <v>#DIV/0!</v>
      </c>
      <c r="BB44" s="1">
        <f>BB42+1</f>
        <v>19</v>
      </c>
      <c r="BC44" s="63"/>
      <c r="BD44" s="20">
        <f>1/((1+BD$3)^BB44)</f>
        <v>0.57028602681192497</v>
      </c>
      <c r="BE44" s="11">
        <f t="shared" si="4"/>
        <v>0</v>
      </c>
      <c r="BF44" s="11">
        <f t="shared" si="9"/>
        <v>0</v>
      </c>
      <c r="BG44" s="12">
        <f>BG$6</f>
        <v>0</v>
      </c>
      <c r="BH44" s="21">
        <f>IF(BH$3=BH$4,BB44,(1+BH$4)*(((1+BH$3)^BB44-(1+BH$4)^BB44)/((1+BH$3)^BB44*(BH$3-BH$4))))</f>
        <v>17.258496349597824</v>
      </c>
      <c r="BJ44" s="18">
        <f>BG44*BH44</f>
        <v>0</v>
      </c>
      <c r="BL44" s="527">
        <f t="shared" ref="BL44" si="308">BL$36</f>
        <v>0</v>
      </c>
      <c r="BM44" s="12">
        <f t="shared" ref="BM44" si="309">BF44+BJ44+BL44</f>
        <v>0</v>
      </c>
      <c r="BN44" s="517" t="e">
        <f t="shared" ref="BN44" si="310">BN$3/BM44*1000</f>
        <v>#DIV/0!</v>
      </c>
    </row>
    <row r="45" spans="1:66" x14ac:dyDescent="0.2">
      <c r="C45" s="63"/>
      <c r="D45" s="20"/>
      <c r="E45" s="11">
        <f t="shared" si="262"/>
        <v>0</v>
      </c>
      <c r="F45" s="11">
        <f t="shared" si="272"/>
        <v>0</v>
      </c>
      <c r="H45" s="20"/>
      <c r="L45" s="527"/>
      <c r="N45" s="517"/>
      <c r="P45" s="63"/>
      <c r="Q45" s="20"/>
      <c r="R45" s="11">
        <f t="shared" si="264"/>
        <v>0</v>
      </c>
      <c r="S45" s="11">
        <f t="shared" si="273"/>
        <v>0</v>
      </c>
      <c r="U45" s="21"/>
      <c r="Y45" s="527"/>
      <c r="AA45" s="517"/>
      <c r="AC45" s="63"/>
      <c r="AD45" s="20"/>
      <c r="AE45" s="11">
        <f t="shared" si="266"/>
        <v>0</v>
      </c>
      <c r="AF45" s="11">
        <f t="shared" si="274"/>
        <v>0</v>
      </c>
      <c r="AH45" s="20"/>
      <c r="AN45" s="517"/>
      <c r="AP45" s="63"/>
      <c r="AQ45" s="20"/>
      <c r="AR45" s="11">
        <f t="shared" si="3"/>
        <v>0</v>
      </c>
      <c r="AS45" s="11">
        <f t="shared" si="8"/>
        <v>0</v>
      </c>
      <c r="AU45" s="20"/>
      <c r="AY45" s="527"/>
      <c r="BA45" s="517"/>
      <c r="BC45" s="63"/>
      <c r="BD45" s="20"/>
      <c r="BE45" s="11">
        <f t="shared" si="4"/>
        <v>0</v>
      </c>
      <c r="BF45" s="11">
        <f t="shared" si="9"/>
        <v>0</v>
      </c>
      <c r="BH45" s="20"/>
      <c r="BL45" s="527"/>
      <c r="BN45" s="517"/>
    </row>
    <row r="46" spans="1:66" x14ac:dyDescent="0.2">
      <c r="A46" s="1">
        <f>A44+1</f>
        <v>2029</v>
      </c>
      <c r="B46" s="1">
        <f>B44+1</f>
        <v>20</v>
      </c>
      <c r="C46" s="63"/>
      <c r="D46" s="20">
        <f>1/((1+D$3)^B46)</f>
        <v>0.55367575418633497</v>
      </c>
      <c r="E46" s="11">
        <f t="shared" si="262"/>
        <v>0</v>
      </c>
      <c r="F46" s="11">
        <f t="shared" si="272"/>
        <v>0</v>
      </c>
      <c r="G46" s="12">
        <f>G$6</f>
        <v>0</v>
      </c>
      <c r="H46" s="20">
        <f>IF(H$3=H$4,B46,(1+H$4)*(((1+H$3)^B46-(1+H$4)^B46)/((1+H$3)^B46*(H$3-H$4))))</f>
        <v>18.081229394747353</v>
      </c>
      <c r="J46" s="18">
        <f>G46*H46</f>
        <v>0</v>
      </c>
      <c r="L46" s="527">
        <f t="shared" ref="L46" si="311">L$36</f>
        <v>0</v>
      </c>
      <c r="M46" s="12">
        <f t="shared" ref="M46" si="312">F46+J46+L46</f>
        <v>0</v>
      </c>
      <c r="N46" s="517" t="e">
        <f t="shared" si="12"/>
        <v>#DIV/0!</v>
      </c>
      <c r="O46" s="1">
        <f>O44+1</f>
        <v>20</v>
      </c>
      <c r="P46" s="63"/>
      <c r="Q46" s="20">
        <f>1/((1+Q$3)^O46)</f>
        <v>0.55367575418633497</v>
      </c>
      <c r="R46" s="11">
        <f t="shared" si="264"/>
        <v>0</v>
      </c>
      <c r="S46" s="11">
        <f t="shared" si="273"/>
        <v>0</v>
      </c>
      <c r="T46" s="12">
        <f>T$6</f>
        <v>0</v>
      </c>
      <c r="U46" s="21">
        <f>IF(U$3=U$4,O46,(1+U$4)*(((1+U$3)^O46-(1+U$4)^O46)/((1+U$3)^O46*(U$3-U$4))))</f>
        <v>18.081229394747353</v>
      </c>
      <c r="W46" s="18">
        <f>T46*U46</f>
        <v>0</v>
      </c>
      <c r="Y46" s="527">
        <f t="shared" ref="Y46" si="313">Y$36</f>
        <v>0</v>
      </c>
      <c r="Z46" s="12">
        <f t="shared" ref="Z46" si="314">S46+W46+Y46</f>
        <v>0</v>
      </c>
      <c r="AA46" s="517" t="e">
        <f t="shared" si="15"/>
        <v>#DIV/0!</v>
      </c>
      <c r="AB46" s="1">
        <f>AB44+1</f>
        <v>20</v>
      </c>
      <c r="AC46" s="63"/>
      <c r="AD46" s="20">
        <f>1/((1+AD$3)^AB46)</f>
        <v>0.55367575418633497</v>
      </c>
      <c r="AE46" s="11">
        <f t="shared" si="266"/>
        <v>0</v>
      </c>
      <c r="AF46" s="11">
        <f t="shared" si="274"/>
        <v>0</v>
      </c>
      <c r="AG46" s="12">
        <f>AG$6</f>
        <v>0</v>
      </c>
      <c r="AH46" s="21">
        <f>IF(AH$3=AH$4,AB46,(1+AH$4)*(((1+AH$3)^AB46-(1+AH$4)^AB46)/((1+AH$3)^AB46*(AH$3-AH$4))))</f>
        <v>18.081229394747353</v>
      </c>
      <c r="AJ46" s="18">
        <f>AG46*AH46</f>
        <v>0</v>
      </c>
      <c r="AL46" s="527">
        <f t="shared" ref="AL46" si="315">AL$36</f>
        <v>0</v>
      </c>
      <c r="AM46" s="12">
        <f t="shared" ref="AM46" si="316">AF46+AJ46+AL46</f>
        <v>0</v>
      </c>
      <c r="AN46" s="517" t="e">
        <f t="shared" si="17"/>
        <v>#DIV/0!</v>
      </c>
      <c r="AO46" s="1">
        <f>AO44+1</f>
        <v>20</v>
      </c>
      <c r="AP46" s="63"/>
      <c r="AQ46" s="20">
        <f>1/((1+AQ$3)^AO46)</f>
        <v>0.55367575418633497</v>
      </c>
      <c r="AR46" s="11">
        <f t="shared" si="3"/>
        <v>0</v>
      </c>
      <c r="AS46" s="11">
        <f t="shared" si="8"/>
        <v>0</v>
      </c>
      <c r="AT46" s="12">
        <f>AT$6</f>
        <v>0</v>
      </c>
      <c r="AU46" s="21">
        <f>IF(AU$3=AU$4,AO46,(1+AU$4)*(((1+AU$3)^AO46-(1+AU$4)^AO46)/((1+AU$3)^AO46*(AU$3-AU$4))))</f>
        <v>18.081229394747353</v>
      </c>
      <c r="AW46" s="18">
        <f>AT46*AU46</f>
        <v>0</v>
      </c>
      <c r="AY46" s="527">
        <f t="shared" ref="AY46" si="317">AY$36</f>
        <v>0</v>
      </c>
      <c r="AZ46" s="12">
        <f t="shared" ref="AZ46" si="318">AS46+AW46+AY46</f>
        <v>0</v>
      </c>
      <c r="BA46" s="517" t="e">
        <f t="shared" ref="BA46" si="319">BA$3/AZ46*1000</f>
        <v>#DIV/0!</v>
      </c>
      <c r="BB46" s="1">
        <f>BB44+1</f>
        <v>20</v>
      </c>
      <c r="BC46" s="63"/>
      <c r="BD46" s="20">
        <f>1/((1+BD$3)^BB46)</f>
        <v>0.55367575418633497</v>
      </c>
      <c r="BE46" s="11">
        <f t="shared" si="4"/>
        <v>0</v>
      </c>
      <c r="BF46" s="11">
        <f t="shared" si="9"/>
        <v>0</v>
      </c>
      <c r="BG46" s="12">
        <f>BG$6</f>
        <v>0</v>
      </c>
      <c r="BH46" s="21">
        <f>IF(BH$3=BH$4,BB46,(1+BH$4)*(((1+BH$3)^BB46-(1+BH$4)^BB46)/((1+BH$3)^BB46*(BH$3-BH$4))))</f>
        <v>18.081229394747353</v>
      </c>
      <c r="BJ46" s="18">
        <f>BG46*BH46</f>
        <v>0</v>
      </c>
      <c r="BL46" s="527">
        <f t="shared" ref="BL46" si="320">BL$36</f>
        <v>0</v>
      </c>
      <c r="BM46" s="12">
        <f t="shared" ref="BM46" si="321">BF46+BJ46+BL46</f>
        <v>0</v>
      </c>
      <c r="BN46" s="517" t="e">
        <f t="shared" ref="BN46" si="322">BN$3/BM46*1000</f>
        <v>#DIV/0!</v>
      </c>
    </row>
    <row r="47" spans="1:66" x14ac:dyDescent="0.2">
      <c r="C47" s="63"/>
      <c r="D47" s="20"/>
      <c r="E47" s="11">
        <f t="shared" si="262"/>
        <v>0</v>
      </c>
      <c r="F47" s="11">
        <f t="shared" si="272"/>
        <v>0</v>
      </c>
      <c r="H47" s="20"/>
      <c r="L47" s="527"/>
      <c r="N47" s="517"/>
      <c r="P47" s="63"/>
      <c r="Q47" s="20"/>
      <c r="R47" s="11">
        <f t="shared" si="264"/>
        <v>0</v>
      </c>
      <c r="S47" s="11">
        <f t="shared" si="273"/>
        <v>0</v>
      </c>
      <c r="U47" s="21"/>
      <c r="Y47" s="527"/>
      <c r="AA47" s="517"/>
      <c r="AC47" s="63"/>
      <c r="AD47" s="20"/>
      <c r="AE47" s="11">
        <f t="shared" si="266"/>
        <v>0</v>
      </c>
      <c r="AF47" s="11">
        <f t="shared" si="274"/>
        <v>0</v>
      </c>
      <c r="AH47" s="20"/>
      <c r="AN47" s="517"/>
      <c r="AP47" s="63"/>
      <c r="AQ47" s="20"/>
      <c r="AR47" s="11">
        <f t="shared" si="3"/>
        <v>0</v>
      </c>
      <c r="AS47" s="11">
        <f t="shared" si="8"/>
        <v>0</v>
      </c>
      <c r="AU47" s="20"/>
      <c r="AY47" s="527"/>
      <c r="BA47" s="517"/>
      <c r="BC47" s="63"/>
      <c r="BD47" s="20"/>
      <c r="BE47" s="11">
        <f t="shared" si="4"/>
        <v>0</v>
      </c>
      <c r="BF47" s="11">
        <f t="shared" si="9"/>
        <v>0</v>
      </c>
      <c r="BH47" s="20"/>
      <c r="BL47" s="527"/>
      <c r="BN47" s="517"/>
    </row>
    <row r="48" spans="1:66" x14ac:dyDescent="0.2">
      <c r="A48" s="1">
        <f>A46+1</f>
        <v>2030</v>
      </c>
      <c r="B48" s="1">
        <f>B46+1</f>
        <v>21</v>
      </c>
      <c r="C48" s="63"/>
      <c r="D48" s="20">
        <f>1/((1+D$3)^B48)</f>
        <v>0.5375492759090631</v>
      </c>
      <c r="E48" s="11">
        <f t="shared" si="262"/>
        <v>0</v>
      </c>
      <c r="F48" s="11">
        <f t="shared" si="272"/>
        <v>0</v>
      </c>
      <c r="G48" s="12">
        <f>G$6</f>
        <v>0</v>
      </c>
      <c r="H48" s="20">
        <f>IF(H$3=H$4,B48,(1+H$4)*(((1+H$3)^B48-(1+H$4)^B48)/((1+H$3)^B48*(H$3-H$4))))</f>
        <v>18.895974740429409</v>
      </c>
      <c r="J48" s="18">
        <f>G48*H48</f>
        <v>0</v>
      </c>
      <c r="L48" s="527">
        <f t="shared" ref="L48" si="323">L$36</f>
        <v>0</v>
      </c>
      <c r="M48" s="12">
        <f t="shared" ref="M48" si="324">F48+J48+L48</f>
        <v>0</v>
      </c>
      <c r="N48" s="517" t="e">
        <f t="shared" si="12"/>
        <v>#DIV/0!</v>
      </c>
      <c r="O48" s="1">
        <f>O46+1</f>
        <v>21</v>
      </c>
      <c r="P48" s="63"/>
      <c r="Q48" s="20">
        <f>1/((1+Q$3)^O48)</f>
        <v>0.5375492759090631</v>
      </c>
      <c r="R48" s="11">
        <f t="shared" si="264"/>
        <v>0</v>
      </c>
      <c r="S48" s="11">
        <f t="shared" si="273"/>
        <v>0</v>
      </c>
      <c r="T48" s="12">
        <f>T$6</f>
        <v>0</v>
      </c>
      <c r="U48" s="21">
        <f>IF(U$3=U$4,O48,(1+U$4)*(((1+U$3)^O48-(1+U$4)^O48)/((1+U$3)^O48*(U$3-U$4))))</f>
        <v>18.895974740429409</v>
      </c>
      <c r="W48" s="18">
        <f>T48*U48</f>
        <v>0</v>
      </c>
      <c r="Y48" s="527">
        <f t="shared" ref="Y48" si="325">Y$36</f>
        <v>0</v>
      </c>
      <c r="Z48" s="12">
        <f t="shared" ref="Z48" si="326">S48+W48+Y48</f>
        <v>0</v>
      </c>
      <c r="AA48" s="517" t="e">
        <f t="shared" si="15"/>
        <v>#DIV/0!</v>
      </c>
      <c r="AB48" s="1">
        <f>AB46+1</f>
        <v>21</v>
      </c>
      <c r="AC48" s="63"/>
      <c r="AD48" s="20">
        <f>1/((1+AD$3)^AB48)</f>
        <v>0.5375492759090631</v>
      </c>
      <c r="AE48" s="11">
        <f t="shared" si="266"/>
        <v>0</v>
      </c>
      <c r="AF48" s="11">
        <f t="shared" si="274"/>
        <v>0</v>
      </c>
      <c r="AG48" s="12">
        <f>AG$6</f>
        <v>0</v>
      </c>
      <c r="AH48" s="21">
        <f>IF(AH$3=AH$4,AB48,(1+AH$4)*(((1+AH$3)^AB48-(1+AH$4)^AB48)/((1+AH$3)^AB48*(AH$3-AH$4))))</f>
        <v>18.895974740429409</v>
      </c>
      <c r="AJ48" s="18">
        <f>AG48*AH48</f>
        <v>0</v>
      </c>
      <c r="AL48" s="527">
        <f t="shared" ref="AL48" si="327">AL$36</f>
        <v>0</v>
      </c>
      <c r="AM48" s="12">
        <f t="shared" ref="AM48" si="328">AF48+AJ48+AL48</f>
        <v>0</v>
      </c>
      <c r="AN48" s="517" t="e">
        <f t="shared" si="17"/>
        <v>#DIV/0!</v>
      </c>
      <c r="AO48" s="1">
        <f>AO46+1</f>
        <v>21</v>
      </c>
      <c r="AP48" s="63"/>
      <c r="AQ48" s="20">
        <f>1/((1+AQ$3)^AO48)</f>
        <v>0.5375492759090631</v>
      </c>
      <c r="AR48" s="11">
        <f t="shared" si="3"/>
        <v>0</v>
      </c>
      <c r="AS48" s="11">
        <f t="shared" si="8"/>
        <v>0</v>
      </c>
      <c r="AT48" s="12">
        <f>AT$6</f>
        <v>0</v>
      </c>
      <c r="AU48" s="21">
        <f>IF(AU$3=AU$4,AO48,(1+AU$4)*(((1+AU$3)^AO48-(1+AU$4)^AO48)/((1+AU$3)^AO48*(AU$3-AU$4))))</f>
        <v>18.895974740429409</v>
      </c>
      <c r="AW48" s="18">
        <f>AT48*AU48</f>
        <v>0</v>
      </c>
      <c r="AY48" s="527">
        <f t="shared" ref="AY48" si="329">AY$36</f>
        <v>0</v>
      </c>
      <c r="AZ48" s="12">
        <f t="shared" ref="AZ48" si="330">AS48+AW48+AY48</f>
        <v>0</v>
      </c>
      <c r="BA48" s="517" t="e">
        <f t="shared" ref="BA48" si="331">BA$3/AZ48*1000</f>
        <v>#DIV/0!</v>
      </c>
      <c r="BB48" s="1">
        <f>BB46+1</f>
        <v>21</v>
      </c>
      <c r="BC48" s="63"/>
      <c r="BD48" s="20">
        <f>1/((1+BD$3)^BB48)</f>
        <v>0.5375492759090631</v>
      </c>
      <c r="BE48" s="11">
        <f t="shared" si="4"/>
        <v>0</v>
      </c>
      <c r="BF48" s="11">
        <f t="shared" si="9"/>
        <v>0</v>
      </c>
      <c r="BG48" s="12">
        <f>BG$6</f>
        <v>0</v>
      </c>
      <c r="BH48" s="21">
        <f>IF(BH$3=BH$4,BB48,(1+BH$4)*(((1+BH$3)^BB48-(1+BH$4)^BB48)/((1+BH$3)^BB48*(BH$3-BH$4))))</f>
        <v>18.895974740429409</v>
      </c>
      <c r="BJ48" s="18">
        <f>BG48*BH48</f>
        <v>0</v>
      </c>
      <c r="BL48" s="527">
        <f t="shared" ref="BL48" si="332">BL$36</f>
        <v>0</v>
      </c>
      <c r="BM48" s="12">
        <f t="shared" ref="BM48" si="333">BF48+BJ48+BL48</f>
        <v>0</v>
      </c>
      <c r="BN48" s="517" t="e">
        <f t="shared" ref="BN48" si="334">BN$3/BM48*1000</f>
        <v>#DIV/0!</v>
      </c>
    </row>
    <row r="49" spans="1:66" x14ac:dyDescent="0.2">
      <c r="C49" s="63"/>
      <c r="D49" s="20"/>
      <c r="E49" s="11">
        <f t="shared" si="262"/>
        <v>0</v>
      </c>
      <c r="F49" s="11">
        <f t="shared" si="272"/>
        <v>0</v>
      </c>
      <c r="H49" s="20"/>
      <c r="L49" s="527"/>
      <c r="N49" s="517"/>
      <c r="P49" s="63"/>
      <c r="Q49" s="20"/>
      <c r="R49" s="11">
        <f t="shared" si="264"/>
        <v>0</v>
      </c>
      <c r="S49" s="11">
        <f t="shared" si="273"/>
        <v>0</v>
      </c>
      <c r="U49" s="21"/>
      <c r="Y49" s="527"/>
      <c r="AA49" s="517"/>
      <c r="AC49" s="63"/>
      <c r="AD49" s="20"/>
      <c r="AE49" s="11">
        <f t="shared" si="266"/>
        <v>0</v>
      </c>
      <c r="AF49" s="11">
        <f t="shared" si="274"/>
        <v>0</v>
      </c>
      <c r="AH49" s="20"/>
      <c r="AN49" s="517"/>
      <c r="AP49" s="63"/>
      <c r="AQ49" s="20"/>
      <c r="AR49" s="11">
        <f t="shared" si="3"/>
        <v>0</v>
      </c>
      <c r="AS49" s="11">
        <f t="shared" si="8"/>
        <v>0</v>
      </c>
      <c r="AU49" s="20"/>
      <c r="AY49" s="527"/>
      <c r="BA49" s="517"/>
      <c r="BC49" s="63"/>
      <c r="BD49" s="20"/>
      <c r="BE49" s="11">
        <f t="shared" si="4"/>
        <v>0</v>
      </c>
      <c r="BF49" s="11">
        <f t="shared" si="9"/>
        <v>0</v>
      </c>
      <c r="BH49" s="20"/>
      <c r="BL49" s="527"/>
      <c r="BN49" s="517"/>
    </row>
    <row r="50" spans="1:66" x14ac:dyDescent="0.2">
      <c r="A50" s="1">
        <f>A48+1</f>
        <v>2031</v>
      </c>
      <c r="B50" s="1">
        <f>B48+1</f>
        <v>22</v>
      </c>
      <c r="C50" s="63"/>
      <c r="D50" s="20">
        <f>1/((1+D$3)^B50)</f>
        <v>0.52189250088258554</v>
      </c>
      <c r="E50" s="11">
        <f t="shared" si="262"/>
        <v>0</v>
      </c>
      <c r="F50" s="11">
        <f t="shared" si="272"/>
        <v>0</v>
      </c>
      <c r="G50" s="12">
        <f>G$6</f>
        <v>0</v>
      </c>
      <c r="H50" s="20">
        <f>IF(H$3=H$4,B50,(1+H$4)*(((1+H$3)^B50-(1+H$4)^B50)/((1+H$3)^B50*(H$3-H$4))))</f>
        <v>19.702809937124275</v>
      </c>
      <c r="J50" s="18">
        <f>G50*H50</f>
        <v>0</v>
      </c>
      <c r="L50" s="527">
        <f t="shared" ref="L50" si="335">L$36</f>
        <v>0</v>
      </c>
      <c r="M50" s="12">
        <f t="shared" ref="M50" si="336">F50+J50+L50</f>
        <v>0</v>
      </c>
      <c r="N50" s="517" t="e">
        <f t="shared" si="12"/>
        <v>#DIV/0!</v>
      </c>
      <c r="O50" s="1">
        <f>O48+1</f>
        <v>22</v>
      </c>
      <c r="P50" s="63"/>
      <c r="Q50" s="20">
        <f>1/((1+Q$3)^O50)</f>
        <v>0.52189250088258554</v>
      </c>
      <c r="R50" s="11">
        <f t="shared" si="264"/>
        <v>0</v>
      </c>
      <c r="S50" s="11">
        <f t="shared" si="273"/>
        <v>0</v>
      </c>
      <c r="T50" s="12">
        <f>T$6</f>
        <v>0</v>
      </c>
      <c r="U50" s="21">
        <f>IF(U$3=U$4,O50,(1+U$4)*(((1+U$3)^O50-(1+U$4)^O50)/((1+U$3)^O50*(U$3-U$4))))</f>
        <v>19.702809937124275</v>
      </c>
      <c r="W50" s="18">
        <f>T50*U50</f>
        <v>0</v>
      </c>
      <c r="Y50" s="527">
        <f t="shared" ref="Y50" si="337">Y$36</f>
        <v>0</v>
      </c>
      <c r="Z50" s="12">
        <f t="shared" ref="Z50" si="338">S50+W50+Y50</f>
        <v>0</v>
      </c>
      <c r="AA50" s="517" t="e">
        <f t="shared" si="15"/>
        <v>#DIV/0!</v>
      </c>
      <c r="AB50" s="1">
        <f>AB48+1</f>
        <v>22</v>
      </c>
      <c r="AC50" s="63"/>
      <c r="AD50" s="20">
        <f>1/((1+AD$3)^AB50)</f>
        <v>0.52189250088258554</v>
      </c>
      <c r="AE50" s="11">
        <f t="shared" si="266"/>
        <v>0</v>
      </c>
      <c r="AF50" s="11">
        <f t="shared" si="274"/>
        <v>0</v>
      </c>
      <c r="AG50" s="12">
        <f>AG$6</f>
        <v>0</v>
      </c>
      <c r="AH50" s="21">
        <f>IF(AH$3=AH$4,AB50,(1+AH$4)*(((1+AH$3)^AB50-(1+AH$4)^AB50)/((1+AH$3)^AB50*(AH$3-AH$4))))</f>
        <v>19.702809937124275</v>
      </c>
      <c r="AJ50" s="18">
        <f>AG50*AH50</f>
        <v>0</v>
      </c>
      <c r="AL50" s="527">
        <f t="shared" ref="AL50" si="339">AL$36</f>
        <v>0</v>
      </c>
      <c r="AM50" s="12">
        <f t="shared" ref="AM50" si="340">AF50+AJ50+AL50</f>
        <v>0</v>
      </c>
      <c r="AN50" s="517" t="e">
        <f t="shared" si="17"/>
        <v>#DIV/0!</v>
      </c>
      <c r="AO50" s="1">
        <f>AO48+1</f>
        <v>22</v>
      </c>
      <c r="AP50" s="63"/>
      <c r="AQ50" s="20">
        <f>1/((1+AQ$3)^AO50)</f>
        <v>0.52189250088258554</v>
      </c>
      <c r="AR50" s="11">
        <f t="shared" si="3"/>
        <v>0</v>
      </c>
      <c r="AS50" s="11">
        <f t="shared" si="8"/>
        <v>0</v>
      </c>
      <c r="AT50" s="12">
        <f>AT$6</f>
        <v>0</v>
      </c>
      <c r="AU50" s="21">
        <f>IF(AU$3=AU$4,AO50,(1+AU$4)*(((1+AU$3)^AO50-(1+AU$4)^AO50)/((1+AU$3)^AO50*(AU$3-AU$4))))</f>
        <v>19.702809937124275</v>
      </c>
      <c r="AW50" s="18">
        <f>AT50*AU50</f>
        <v>0</v>
      </c>
      <c r="AY50" s="527">
        <f t="shared" ref="AY50" si="341">AY$36</f>
        <v>0</v>
      </c>
      <c r="AZ50" s="12">
        <f t="shared" ref="AZ50" si="342">AS50+AW50+AY50</f>
        <v>0</v>
      </c>
      <c r="BA50" s="517" t="e">
        <f t="shared" ref="BA50" si="343">BA$3/AZ50*1000</f>
        <v>#DIV/0!</v>
      </c>
      <c r="BB50" s="1">
        <f>BB48+1</f>
        <v>22</v>
      </c>
      <c r="BC50" s="63"/>
      <c r="BD50" s="20">
        <f>1/((1+BD$3)^BB50)</f>
        <v>0.52189250088258554</v>
      </c>
      <c r="BE50" s="11">
        <f t="shared" si="4"/>
        <v>0</v>
      </c>
      <c r="BF50" s="11">
        <f t="shared" si="9"/>
        <v>0</v>
      </c>
      <c r="BG50" s="12">
        <f>BG$6</f>
        <v>0</v>
      </c>
      <c r="BH50" s="21">
        <f>IF(BH$3=BH$4,BB50,(1+BH$4)*(((1+BH$3)^BB50-(1+BH$4)^BB50)/((1+BH$3)^BB50*(BH$3-BH$4))))</f>
        <v>19.702809937124275</v>
      </c>
      <c r="BJ50" s="18">
        <f>BG50*BH50</f>
        <v>0</v>
      </c>
      <c r="BL50" s="527">
        <f t="shared" ref="BL50" si="344">BL$36</f>
        <v>0</v>
      </c>
      <c r="BM50" s="12">
        <f t="shared" ref="BM50" si="345">BF50+BJ50+BL50</f>
        <v>0</v>
      </c>
      <c r="BN50" s="517" t="e">
        <f t="shared" ref="BN50" si="346">BN$3/BM50*1000</f>
        <v>#DIV/0!</v>
      </c>
    </row>
    <row r="51" spans="1:66" x14ac:dyDescent="0.2">
      <c r="C51" s="63"/>
      <c r="D51" s="20"/>
      <c r="E51" s="11">
        <f t="shared" si="262"/>
        <v>0</v>
      </c>
      <c r="F51" s="11">
        <f t="shared" si="272"/>
        <v>0</v>
      </c>
      <c r="H51" s="20"/>
      <c r="L51" s="527"/>
      <c r="N51" s="517"/>
      <c r="P51" s="63"/>
      <c r="Q51" s="20"/>
      <c r="R51" s="11">
        <f t="shared" si="264"/>
        <v>0</v>
      </c>
      <c r="S51" s="11">
        <f t="shared" si="273"/>
        <v>0</v>
      </c>
      <c r="U51" s="21"/>
      <c r="Y51" s="527"/>
      <c r="AA51" s="517"/>
      <c r="AC51" s="63"/>
      <c r="AD51" s="20"/>
      <c r="AE51" s="11">
        <f t="shared" si="266"/>
        <v>0</v>
      </c>
      <c r="AF51" s="11">
        <f t="shared" si="274"/>
        <v>0</v>
      </c>
      <c r="AH51" s="20"/>
      <c r="AN51" s="517"/>
      <c r="AP51" s="63"/>
      <c r="AQ51" s="20"/>
      <c r="AR51" s="11">
        <f t="shared" si="3"/>
        <v>0</v>
      </c>
      <c r="AS51" s="11">
        <f t="shared" si="8"/>
        <v>0</v>
      </c>
      <c r="AU51" s="20"/>
      <c r="AY51" s="527"/>
      <c r="BA51" s="517"/>
      <c r="BC51" s="63"/>
      <c r="BD51" s="20"/>
      <c r="BE51" s="11">
        <f t="shared" si="4"/>
        <v>0</v>
      </c>
      <c r="BF51" s="11">
        <f t="shared" si="9"/>
        <v>0</v>
      </c>
      <c r="BH51" s="20"/>
      <c r="BL51" s="527"/>
      <c r="BN51" s="517"/>
    </row>
    <row r="52" spans="1:66" x14ac:dyDescent="0.2">
      <c r="A52" s="1">
        <f>A50+1</f>
        <v>2032</v>
      </c>
      <c r="B52" s="1">
        <f>B50+1</f>
        <v>23</v>
      </c>
      <c r="C52" s="63"/>
      <c r="D52" s="20">
        <f>1/((1+D$3)^B52)</f>
        <v>0.50669174842969467</v>
      </c>
      <c r="E52" s="11">
        <f t="shared" si="262"/>
        <v>0</v>
      </c>
      <c r="F52" s="11">
        <f t="shared" si="272"/>
        <v>0</v>
      </c>
      <c r="G52" s="12">
        <f>G$6</f>
        <v>0</v>
      </c>
      <c r="H52" s="20">
        <f>IF(H$3=H$4,B52,(1+H$4)*(((1+H$3)^B52-(1+H$4)^B52)/((1+H$3)^B52*(H$3-H$4))))</f>
        <v>20.501811782394931</v>
      </c>
      <c r="J52" s="18">
        <f>G52*H52</f>
        <v>0</v>
      </c>
      <c r="L52" s="527">
        <f t="shared" ref="L52" si="347">L$36</f>
        <v>0</v>
      </c>
      <c r="M52" s="12">
        <f t="shared" ref="M52" si="348">F52+J52+L52</f>
        <v>0</v>
      </c>
      <c r="N52" s="517" t="e">
        <f t="shared" si="12"/>
        <v>#DIV/0!</v>
      </c>
      <c r="O52" s="1">
        <f>O50+1</f>
        <v>23</v>
      </c>
      <c r="P52" s="63"/>
      <c r="Q52" s="20">
        <f>1/((1+Q$3)^O52)</f>
        <v>0.50669174842969467</v>
      </c>
      <c r="R52" s="11">
        <f t="shared" si="264"/>
        <v>0</v>
      </c>
      <c r="S52" s="11">
        <f t="shared" si="273"/>
        <v>0</v>
      </c>
      <c r="T52" s="12">
        <f>T$6</f>
        <v>0</v>
      </c>
      <c r="U52" s="21">
        <f>IF(U$3=U$4,O52,(1+U$4)*(((1+U$3)^O52-(1+U$4)^O52)/((1+U$3)^O52*(U$3-U$4))))</f>
        <v>20.501811782394931</v>
      </c>
      <c r="W52" s="18">
        <f>T52*U52</f>
        <v>0</v>
      </c>
      <c r="Y52" s="527">
        <f t="shared" ref="Y52" si="349">Y$36</f>
        <v>0</v>
      </c>
      <c r="Z52" s="12">
        <f t="shared" ref="Z52" si="350">S52+W52+Y52</f>
        <v>0</v>
      </c>
      <c r="AA52" s="517" t="e">
        <f t="shared" si="15"/>
        <v>#DIV/0!</v>
      </c>
      <c r="AB52" s="1">
        <f>AB50+1</f>
        <v>23</v>
      </c>
      <c r="AC52" s="63"/>
      <c r="AD52" s="20">
        <f>1/((1+AD$3)^AB52)</f>
        <v>0.50669174842969467</v>
      </c>
      <c r="AE52" s="11">
        <f t="shared" si="266"/>
        <v>0</v>
      </c>
      <c r="AF52" s="11">
        <f t="shared" si="274"/>
        <v>0</v>
      </c>
      <c r="AG52" s="12">
        <f>AG$6</f>
        <v>0</v>
      </c>
      <c r="AH52" s="21">
        <f>IF(AH$3=AH$4,AB52,(1+AH$4)*(((1+AH$3)^AB52-(1+AH$4)^AB52)/((1+AH$3)^AB52*(AH$3-AH$4))))</f>
        <v>20.501811782394931</v>
      </c>
      <c r="AJ52" s="18">
        <f>AG52*AH52</f>
        <v>0</v>
      </c>
      <c r="AL52" s="527">
        <f t="shared" ref="AL52" si="351">AL$36</f>
        <v>0</v>
      </c>
      <c r="AM52" s="12">
        <f t="shared" ref="AM52" si="352">AF52+AJ52+AL52</f>
        <v>0</v>
      </c>
      <c r="AN52" s="517" t="e">
        <f t="shared" si="17"/>
        <v>#DIV/0!</v>
      </c>
      <c r="AO52" s="1">
        <f>AO50+1</f>
        <v>23</v>
      </c>
      <c r="AP52" s="63"/>
      <c r="AQ52" s="20">
        <f>1/((1+AQ$3)^AO52)</f>
        <v>0.50669174842969467</v>
      </c>
      <c r="AR52" s="11">
        <f t="shared" si="3"/>
        <v>0</v>
      </c>
      <c r="AS52" s="11">
        <f t="shared" si="8"/>
        <v>0</v>
      </c>
      <c r="AT52" s="12">
        <f>AT$6</f>
        <v>0</v>
      </c>
      <c r="AU52" s="21">
        <f>IF(AU$3=AU$4,AO52,(1+AU$4)*(((1+AU$3)^AO52-(1+AU$4)^AO52)/((1+AU$3)^AO52*(AU$3-AU$4))))</f>
        <v>20.501811782394931</v>
      </c>
      <c r="AW52" s="18">
        <f>AT52*AU52</f>
        <v>0</v>
      </c>
      <c r="AY52" s="527">
        <f t="shared" ref="AY52" si="353">AY$36</f>
        <v>0</v>
      </c>
      <c r="AZ52" s="12">
        <f t="shared" ref="AZ52" si="354">AS52+AW52+AY52</f>
        <v>0</v>
      </c>
      <c r="BA52" s="517" t="e">
        <f t="shared" ref="BA52" si="355">BA$3/AZ52*1000</f>
        <v>#DIV/0!</v>
      </c>
      <c r="BB52" s="1">
        <f>BB50+1</f>
        <v>23</v>
      </c>
      <c r="BC52" s="63"/>
      <c r="BD52" s="20">
        <f>1/((1+BD$3)^BB52)</f>
        <v>0.50669174842969467</v>
      </c>
      <c r="BE52" s="11">
        <f t="shared" si="4"/>
        <v>0</v>
      </c>
      <c r="BF52" s="11">
        <f t="shared" si="9"/>
        <v>0</v>
      </c>
      <c r="BG52" s="12">
        <f>BG$6</f>
        <v>0</v>
      </c>
      <c r="BH52" s="21">
        <f>IF(BH$3=BH$4,BB52,(1+BH$4)*(((1+BH$3)^BB52-(1+BH$4)^BB52)/((1+BH$3)^BB52*(BH$3-BH$4))))</f>
        <v>20.501811782394931</v>
      </c>
      <c r="BJ52" s="18">
        <f>BG52*BH52</f>
        <v>0</v>
      </c>
      <c r="BL52" s="527">
        <f t="shared" ref="BL52" si="356">BL$36</f>
        <v>0</v>
      </c>
      <c r="BM52" s="12">
        <f t="shared" ref="BM52" si="357">BF52+BJ52+BL52</f>
        <v>0</v>
      </c>
      <c r="BN52" s="517" t="e">
        <f t="shared" ref="BN52" si="358">BN$3/BM52*1000</f>
        <v>#DIV/0!</v>
      </c>
    </row>
    <row r="53" spans="1:66" x14ac:dyDescent="0.2">
      <c r="C53" s="63"/>
      <c r="D53" s="20"/>
      <c r="E53" s="11">
        <f t="shared" si="262"/>
        <v>0</v>
      </c>
      <c r="F53" s="11">
        <f t="shared" si="272"/>
        <v>0</v>
      </c>
      <c r="H53" s="20"/>
      <c r="L53" s="527"/>
      <c r="N53" s="517"/>
      <c r="P53" s="63"/>
      <c r="Q53" s="20"/>
      <c r="R53" s="11">
        <f t="shared" si="264"/>
        <v>0</v>
      </c>
      <c r="S53" s="11">
        <f t="shared" si="273"/>
        <v>0</v>
      </c>
      <c r="U53" s="21"/>
      <c r="Y53" s="527"/>
      <c r="AA53" s="517"/>
      <c r="AC53" s="63"/>
      <c r="AD53" s="20"/>
      <c r="AE53" s="11">
        <f t="shared" si="266"/>
        <v>0</v>
      </c>
      <c r="AF53" s="11">
        <f t="shared" si="274"/>
        <v>0</v>
      </c>
      <c r="AH53" s="20"/>
      <c r="AN53" s="517"/>
      <c r="AP53" s="63"/>
      <c r="AQ53" s="20"/>
      <c r="AR53" s="11">
        <f t="shared" si="3"/>
        <v>0</v>
      </c>
      <c r="AS53" s="11">
        <f t="shared" si="8"/>
        <v>0</v>
      </c>
      <c r="AU53" s="20"/>
      <c r="AY53" s="527"/>
      <c r="BA53" s="517"/>
      <c r="BC53" s="63"/>
      <c r="BD53" s="20"/>
      <c r="BE53" s="11">
        <f t="shared" si="4"/>
        <v>0</v>
      </c>
      <c r="BF53" s="11">
        <f t="shared" si="9"/>
        <v>0</v>
      </c>
      <c r="BH53" s="20"/>
      <c r="BL53" s="527"/>
      <c r="BN53" s="517"/>
    </row>
    <row r="54" spans="1:66" x14ac:dyDescent="0.2">
      <c r="A54" s="1">
        <f>A52+1</f>
        <v>2033</v>
      </c>
      <c r="B54" s="1">
        <f>B52+1</f>
        <v>24</v>
      </c>
      <c r="C54" s="63"/>
      <c r="D54" s="20">
        <f>1/((1+D$3)^B54)</f>
        <v>0.49193373633950943</v>
      </c>
      <c r="E54" s="11">
        <f t="shared" si="262"/>
        <v>0</v>
      </c>
      <c r="F54" s="11">
        <f t="shared" si="272"/>
        <v>0</v>
      </c>
      <c r="G54" s="12">
        <f>G$6</f>
        <v>0</v>
      </c>
      <c r="H54" s="20">
        <f>IF(H$3=H$4,B54,(1+H$4)*(((1+H$3)^B54-(1+H$4)^B54)/((1+H$3)^B54*(H$3-H$4))))</f>
        <v>21.293056328196908</v>
      </c>
      <c r="J54" s="18">
        <f>G54*H54</f>
        <v>0</v>
      </c>
      <c r="L54" s="527">
        <f t="shared" ref="L54" si="359">L$36</f>
        <v>0</v>
      </c>
      <c r="M54" s="12">
        <f t="shared" ref="M54" si="360">F54+J54+L54</f>
        <v>0</v>
      </c>
      <c r="N54" s="517" t="e">
        <f t="shared" si="12"/>
        <v>#DIV/0!</v>
      </c>
      <c r="O54" s="1">
        <f>O52+1</f>
        <v>24</v>
      </c>
      <c r="P54" s="63"/>
      <c r="Q54" s="20">
        <f>1/((1+Q$3)^O54)</f>
        <v>0.49193373633950943</v>
      </c>
      <c r="R54" s="11">
        <f t="shared" si="264"/>
        <v>0</v>
      </c>
      <c r="S54" s="11">
        <f t="shared" si="273"/>
        <v>0</v>
      </c>
      <c r="T54" s="12">
        <f>T$6</f>
        <v>0</v>
      </c>
      <c r="U54" s="21">
        <f>IF(U$3=U$4,O54,(1+U$4)*(((1+U$3)^O54-(1+U$4)^O54)/((1+U$3)^O54*(U$3-U$4))))</f>
        <v>21.293056328196908</v>
      </c>
      <c r="W54" s="18">
        <f>T54*U54</f>
        <v>0</v>
      </c>
      <c r="Y54" s="527">
        <f t="shared" ref="Y54" si="361">Y$36</f>
        <v>0</v>
      </c>
      <c r="Z54" s="12">
        <f t="shared" ref="Z54" si="362">S54+W54+Y54</f>
        <v>0</v>
      </c>
      <c r="AA54" s="517" t="e">
        <f t="shared" si="15"/>
        <v>#DIV/0!</v>
      </c>
      <c r="AB54" s="1">
        <f>AB52+1</f>
        <v>24</v>
      </c>
      <c r="AC54" s="63"/>
      <c r="AD54" s="20">
        <f>1/((1+AD$3)^AB54)</f>
        <v>0.49193373633950943</v>
      </c>
      <c r="AE54" s="11">
        <f t="shared" si="266"/>
        <v>0</v>
      </c>
      <c r="AF54" s="11">
        <f t="shared" si="274"/>
        <v>0</v>
      </c>
      <c r="AG54" s="12">
        <f>AG$6</f>
        <v>0</v>
      </c>
      <c r="AH54" s="21">
        <f>IF(AH$3=AH$4,AB54,(1+AH$4)*(((1+AH$3)^AB54-(1+AH$4)^AB54)/((1+AH$3)^AB54*(AH$3-AH$4))))</f>
        <v>21.293056328196908</v>
      </c>
      <c r="AJ54" s="18">
        <f>AG54*AH54</f>
        <v>0</v>
      </c>
      <c r="AL54" s="527">
        <f t="shared" ref="AL54" si="363">AL$36</f>
        <v>0</v>
      </c>
      <c r="AM54" s="12">
        <f t="shared" ref="AM54" si="364">AF54+AJ54+AL54</f>
        <v>0</v>
      </c>
      <c r="AN54" s="517" t="e">
        <f t="shared" si="17"/>
        <v>#DIV/0!</v>
      </c>
      <c r="AO54" s="1">
        <f>AO52+1</f>
        <v>24</v>
      </c>
      <c r="AP54" s="63"/>
      <c r="AQ54" s="20">
        <f>1/((1+AQ$3)^AO54)</f>
        <v>0.49193373633950943</v>
      </c>
      <c r="AR54" s="11">
        <f t="shared" si="3"/>
        <v>0</v>
      </c>
      <c r="AS54" s="11">
        <f t="shared" si="8"/>
        <v>0</v>
      </c>
      <c r="AT54" s="12">
        <f>AT$6</f>
        <v>0</v>
      </c>
      <c r="AU54" s="21">
        <f>IF(AU$3=AU$4,AO54,(1+AU$4)*(((1+AU$3)^AO54-(1+AU$4)^AO54)/((1+AU$3)^AO54*(AU$3-AU$4))))</f>
        <v>21.293056328196908</v>
      </c>
      <c r="AW54" s="18">
        <f>AT54*AU54</f>
        <v>0</v>
      </c>
      <c r="AY54" s="527">
        <f t="shared" ref="AY54" si="365">AY$36</f>
        <v>0</v>
      </c>
      <c r="AZ54" s="12">
        <f t="shared" ref="AZ54" si="366">AS54+AW54+AY54</f>
        <v>0</v>
      </c>
      <c r="BA54" s="517" t="e">
        <f t="shared" ref="BA54" si="367">BA$3/AZ54*1000</f>
        <v>#DIV/0!</v>
      </c>
      <c r="BB54" s="1">
        <f>BB52+1</f>
        <v>24</v>
      </c>
      <c r="BC54" s="63"/>
      <c r="BD54" s="20">
        <f>1/((1+BD$3)^BB54)</f>
        <v>0.49193373633950943</v>
      </c>
      <c r="BE54" s="11">
        <f t="shared" si="4"/>
        <v>0</v>
      </c>
      <c r="BF54" s="11">
        <f t="shared" si="9"/>
        <v>0</v>
      </c>
      <c r="BG54" s="12">
        <f>BG$6</f>
        <v>0</v>
      </c>
      <c r="BH54" s="21">
        <f>IF(BH$3=BH$4,BB54,(1+BH$4)*(((1+BH$3)^BB54-(1+BH$4)^BB54)/((1+BH$3)^BB54*(BH$3-BH$4))))</f>
        <v>21.293056328196908</v>
      </c>
      <c r="BJ54" s="18">
        <f>BG54*BH54</f>
        <v>0</v>
      </c>
      <c r="BL54" s="527">
        <f t="shared" ref="BL54" si="368">BL$36</f>
        <v>0</v>
      </c>
      <c r="BM54" s="12">
        <f t="shared" ref="BM54" si="369">BF54+BJ54+BL54</f>
        <v>0</v>
      </c>
      <c r="BN54" s="517" t="e">
        <f t="shared" ref="BN54" si="370">BN$3/BM54*1000</f>
        <v>#DIV/0!</v>
      </c>
    </row>
    <row r="55" spans="1:66" x14ac:dyDescent="0.2">
      <c r="C55" s="63"/>
      <c r="D55" s="20"/>
      <c r="E55" s="11">
        <f t="shared" si="262"/>
        <v>0</v>
      </c>
      <c r="F55" s="11">
        <f t="shared" si="272"/>
        <v>0</v>
      </c>
      <c r="H55" s="20"/>
      <c r="L55" s="527"/>
      <c r="N55" s="517"/>
      <c r="P55" s="63"/>
      <c r="Q55" s="20"/>
      <c r="R55" s="11">
        <f t="shared" si="264"/>
        <v>0</v>
      </c>
      <c r="S55" s="11">
        <f t="shared" si="273"/>
        <v>0</v>
      </c>
      <c r="U55" s="21"/>
      <c r="Y55" s="527"/>
      <c r="AA55" s="517"/>
      <c r="AC55" s="63"/>
      <c r="AD55" s="20"/>
      <c r="AE55" s="11">
        <f t="shared" si="266"/>
        <v>0</v>
      </c>
      <c r="AF55" s="11">
        <f t="shared" si="274"/>
        <v>0</v>
      </c>
      <c r="AH55" s="20"/>
      <c r="AN55" s="517"/>
      <c r="AP55" s="63"/>
      <c r="AQ55" s="20"/>
      <c r="AR55" s="11">
        <f t="shared" si="3"/>
        <v>0</v>
      </c>
      <c r="AS55" s="11">
        <f t="shared" si="8"/>
        <v>0</v>
      </c>
      <c r="AU55" s="20"/>
      <c r="AY55" s="527"/>
      <c r="BA55" s="517"/>
      <c r="BC55" s="63"/>
      <c r="BD55" s="20"/>
      <c r="BE55" s="11">
        <f t="shared" si="4"/>
        <v>0</v>
      </c>
      <c r="BF55" s="11">
        <f t="shared" si="9"/>
        <v>0</v>
      </c>
      <c r="BH55" s="20"/>
      <c r="BL55" s="527"/>
      <c r="BN55" s="517"/>
    </row>
    <row r="56" spans="1:66" x14ac:dyDescent="0.2">
      <c r="A56" s="22">
        <f>A54+1</f>
        <v>2034</v>
      </c>
      <c r="B56" s="1">
        <f>B54+1</f>
        <v>25</v>
      </c>
      <c r="C56" s="63"/>
      <c r="D56" s="20">
        <f>1/((1+D$3)^B56)</f>
        <v>0.47760556926165965</v>
      </c>
      <c r="E56" s="11">
        <f>C56*D56</f>
        <v>0</v>
      </c>
      <c r="F56" s="11">
        <f t="shared" si="272"/>
        <v>0</v>
      </c>
      <c r="G56" s="12">
        <f>G$6</f>
        <v>0</v>
      </c>
      <c r="H56" s="20">
        <f>IF(H$3=H$4,B56,(1+H$4)*(((1+H$3)^B56-(1+H$4)^B56)/((1+H$3)^B56*(H$3-H$4))))</f>
        <v>22.076618888117327</v>
      </c>
      <c r="J56" s="18">
        <f>G56*H56</f>
        <v>0</v>
      </c>
      <c r="L56" s="527">
        <f t="shared" ref="L56" si="371">L$36</f>
        <v>0</v>
      </c>
      <c r="M56" s="12">
        <f t="shared" ref="M56" si="372">F56+J56+L56</f>
        <v>0</v>
      </c>
      <c r="N56" s="517" t="e">
        <f t="shared" si="12"/>
        <v>#DIV/0!</v>
      </c>
      <c r="O56" s="1">
        <f>O54+1</f>
        <v>25</v>
      </c>
      <c r="P56" s="63"/>
      <c r="Q56" s="20">
        <f>1/((1+Q$3)^O56)</f>
        <v>0.47760556926165965</v>
      </c>
      <c r="R56" s="11">
        <f t="shared" si="264"/>
        <v>0</v>
      </c>
      <c r="S56" s="11">
        <f t="shared" si="273"/>
        <v>0</v>
      </c>
      <c r="T56" s="12">
        <f>T$6</f>
        <v>0</v>
      </c>
      <c r="U56" s="21">
        <f>IF(U$3=U$4,O56,(1+U$4)*(((1+U$3)^O56-(1+U$4)^O56)/((1+U$3)^O56*(U$3-U$4))))</f>
        <v>22.076618888117327</v>
      </c>
      <c r="W56" s="18">
        <f>T56*U56</f>
        <v>0</v>
      </c>
      <c r="Y56" s="527">
        <f t="shared" ref="Y56" si="373">Y$36</f>
        <v>0</v>
      </c>
      <c r="Z56" s="12">
        <f t="shared" ref="Z56" si="374">S56+W56+Y56</f>
        <v>0</v>
      </c>
      <c r="AA56" s="517" t="e">
        <f t="shared" si="15"/>
        <v>#DIV/0!</v>
      </c>
      <c r="AB56" s="1">
        <f>AB54+1</f>
        <v>25</v>
      </c>
      <c r="AC56" s="63"/>
      <c r="AD56" s="20">
        <f>1/((1+AD$3)^AB56)</f>
        <v>0.47760556926165965</v>
      </c>
      <c r="AE56" s="11">
        <f t="shared" si="266"/>
        <v>0</v>
      </c>
      <c r="AF56" s="11">
        <f t="shared" si="274"/>
        <v>0</v>
      </c>
      <c r="AG56" s="12">
        <f>AG$6</f>
        <v>0</v>
      </c>
      <c r="AH56" s="21">
        <f>IF(AH$3=AH$4,AB56,(1+AH$4)*(((1+AH$3)^AB56-(1+AH$4)^AB56)/((1+AH$3)^AB56*(AH$3-AH$4))))</f>
        <v>22.076618888117327</v>
      </c>
      <c r="AJ56" s="18">
        <f>AG56*AH56</f>
        <v>0</v>
      </c>
      <c r="AL56" s="527">
        <f t="shared" ref="AL56" si="375">AL$36</f>
        <v>0</v>
      </c>
      <c r="AM56" s="12">
        <f t="shared" ref="AM56" si="376">AF56+AJ56+AL56</f>
        <v>0</v>
      </c>
      <c r="AN56" s="517" t="e">
        <f t="shared" si="17"/>
        <v>#DIV/0!</v>
      </c>
      <c r="AO56" s="1">
        <f>AO54+1</f>
        <v>25</v>
      </c>
      <c r="AP56" s="63"/>
      <c r="AQ56" s="20">
        <f>1/((1+AQ$3)^AO56)</f>
        <v>0.47760556926165965</v>
      </c>
      <c r="AR56" s="11">
        <f t="shared" si="3"/>
        <v>0</v>
      </c>
      <c r="AS56" s="11">
        <f t="shared" si="8"/>
        <v>0</v>
      </c>
      <c r="AT56" s="12">
        <f>AT$6</f>
        <v>0</v>
      </c>
      <c r="AU56" s="21">
        <f>IF(AU$3=AU$4,AO56,(1+AU$4)*(((1+AU$3)^AO56-(1+AU$4)^AO56)/((1+AU$3)^AO56*(AU$3-AU$4))))</f>
        <v>22.076618888117327</v>
      </c>
      <c r="AW56" s="18">
        <f>AT56*AU56</f>
        <v>0</v>
      </c>
      <c r="AY56" s="527">
        <f t="shared" ref="AY56" si="377">AY$36</f>
        <v>0</v>
      </c>
      <c r="AZ56" s="12">
        <f t="shared" ref="AZ56" si="378">AS56+AW56+AY56</f>
        <v>0</v>
      </c>
      <c r="BA56" s="517" t="e">
        <f t="shared" ref="BA56" si="379">BA$3/AZ56*1000</f>
        <v>#DIV/0!</v>
      </c>
      <c r="BB56" s="1">
        <f>BB54+1</f>
        <v>25</v>
      </c>
      <c r="BC56" s="63"/>
      <c r="BD56" s="20">
        <f>1/((1+BD$3)^BB56)</f>
        <v>0.47760556926165965</v>
      </c>
      <c r="BE56" s="11">
        <f t="shared" si="4"/>
        <v>0</v>
      </c>
      <c r="BF56" s="11">
        <f t="shared" si="9"/>
        <v>0</v>
      </c>
      <c r="BG56" s="12">
        <f>BG$6</f>
        <v>0</v>
      </c>
      <c r="BH56" s="21">
        <f>IF(BH$3=BH$4,BB56,(1+BH$4)*(((1+BH$3)^BB56-(1+BH$4)^BB56)/((1+BH$3)^BB56*(BH$3-BH$4))))</f>
        <v>22.076618888117327</v>
      </c>
      <c r="BJ56" s="18">
        <f>BG56*BH56</f>
        <v>0</v>
      </c>
      <c r="BL56" s="527">
        <f t="shared" ref="BL56" si="380">BL$36</f>
        <v>0</v>
      </c>
      <c r="BM56" s="12">
        <f t="shared" ref="BM56" si="381">BF56+BJ56+BL56</f>
        <v>0</v>
      </c>
      <c r="BN56" s="517" t="e">
        <f t="shared" ref="BN56" si="382">BN$3/BM56*1000</f>
        <v>#DIV/0!</v>
      </c>
    </row>
    <row r="57" spans="1:66" x14ac:dyDescent="0.2">
      <c r="A57" s="22"/>
      <c r="C57" s="63"/>
      <c r="D57" s="20"/>
      <c r="E57" s="11">
        <f t="shared" si="262"/>
        <v>0</v>
      </c>
      <c r="F57" s="11">
        <f t="shared" si="272"/>
        <v>0</v>
      </c>
      <c r="H57" s="20"/>
      <c r="L57" s="527"/>
      <c r="N57" s="517"/>
      <c r="P57" s="63"/>
      <c r="Q57" s="20"/>
      <c r="R57" s="11">
        <f t="shared" si="264"/>
        <v>0</v>
      </c>
      <c r="S57" s="11">
        <f t="shared" si="273"/>
        <v>0</v>
      </c>
      <c r="U57" s="21"/>
      <c r="Y57" s="527"/>
      <c r="AA57" s="517"/>
      <c r="AC57" s="63"/>
      <c r="AD57" s="20"/>
      <c r="AE57" s="11">
        <f t="shared" si="266"/>
        <v>0</v>
      </c>
      <c r="AF57" s="11">
        <f t="shared" si="274"/>
        <v>0</v>
      </c>
      <c r="AH57" s="20"/>
      <c r="AN57" s="517"/>
      <c r="AP57" s="63"/>
      <c r="AQ57" s="20"/>
      <c r="AR57" s="11">
        <f t="shared" si="3"/>
        <v>0</v>
      </c>
      <c r="AS57" s="11">
        <f t="shared" si="8"/>
        <v>0</v>
      </c>
      <c r="AU57" s="20"/>
      <c r="AY57" s="527"/>
      <c r="BA57" s="517"/>
      <c r="BC57" s="63"/>
      <c r="BD57" s="20"/>
      <c r="BE57" s="11">
        <f t="shared" si="4"/>
        <v>0</v>
      </c>
      <c r="BF57" s="11">
        <f t="shared" si="9"/>
        <v>0</v>
      </c>
      <c r="BH57" s="20"/>
      <c r="BL57" s="527"/>
      <c r="BN57" s="517"/>
    </row>
    <row r="58" spans="1:66" x14ac:dyDescent="0.2">
      <c r="A58" s="1">
        <f>A56+1</f>
        <v>2035</v>
      </c>
      <c r="B58" s="1">
        <f>B56+1</f>
        <v>26</v>
      </c>
      <c r="C58" s="63">
        <f>SUM('Kosten Variante1'!P67:Q67)</f>
        <v>0</v>
      </c>
      <c r="D58" s="20">
        <f>1/((1+D$3)^B58)</f>
        <v>0.46369472743850448</v>
      </c>
      <c r="E58" s="11">
        <f>C58*D58</f>
        <v>0</v>
      </c>
      <c r="F58" s="11">
        <f t="shared" si="272"/>
        <v>0</v>
      </c>
      <c r="G58" s="12">
        <f>G$6</f>
        <v>0</v>
      </c>
      <c r="H58" s="20">
        <f>IF(H$3=H$4,B58,(1+H$4)*(((1+H$3)^B58-(1+H$4)^B58)/((1+H$3)^B58*(H$3-H$4))))</f>
        <v>22.852574044543374</v>
      </c>
      <c r="J58" s="18">
        <f>G58*H58</f>
        <v>0</v>
      </c>
      <c r="L58" s="527">
        <f t="shared" ref="L58" si="383">L$36</f>
        <v>0</v>
      </c>
      <c r="M58" s="12">
        <f t="shared" ref="M58" si="384">F58+J58+L58</f>
        <v>0</v>
      </c>
      <c r="N58" s="517" t="e">
        <f t="shared" si="12"/>
        <v>#DIV/0!</v>
      </c>
      <c r="O58" s="1">
        <f>O56+1</f>
        <v>26</v>
      </c>
      <c r="P58" s="63">
        <f>SUM('Kosten Variante2'!P67:Q67)</f>
        <v>0</v>
      </c>
      <c r="Q58" s="20">
        <f>1/((1+Q$3)^O58)</f>
        <v>0.46369472743850448</v>
      </c>
      <c r="R58" s="11">
        <f t="shared" si="264"/>
        <v>0</v>
      </c>
      <c r="S58" s="11">
        <f t="shared" si="273"/>
        <v>0</v>
      </c>
      <c r="T58" s="12">
        <f>T$6</f>
        <v>0</v>
      </c>
      <c r="U58" s="21">
        <f>IF(U$3=U$4,O58,(1+U$4)*(((1+U$3)^O58-(1+U$4)^O58)/((1+U$3)^O58*(U$3-U$4))))</f>
        <v>22.852574044543374</v>
      </c>
      <c r="W58" s="18">
        <f>T58*U58</f>
        <v>0</v>
      </c>
      <c r="Y58" s="527">
        <f t="shared" ref="Y58" si="385">Y$36</f>
        <v>0</v>
      </c>
      <c r="Z58" s="12">
        <f t="shared" ref="Z58" si="386">S58+W58+Y58</f>
        <v>0</v>
      </c>
      <c r="AA58" s="517" t="e">
        <f t="shared" si="15"/>
        <v>#DIV/0!</v>
      </c>
      <c r="AB58" s="1">
        <f>AB56+1</f>
        <v>26</v>
      </c>
      <c r="AC58" s="63">
        <f>SUM('Kosten Variante3'!P67:Q67)</f>
        <v>0</v>
      </c>
      <c r="AD58" s="20">
        <f>1/((1+AD$3)^AB58)</f>
        <v>0.46369472743850448</v>
      </c>
      <c r="AE58" s="11">
        <f t="shared" si="266"/>
        <v>0</v>
      </c>
      <c r="AF58" s="11">
        <f t="shared" si="274"/>
        <v>0</v>
      </c>
      <c r="AG58" s="12">
        <f>AG$6</f>
        <v>0</v>
      </c>
      <c r="AH58" s="21">
        <f>IF(AH$3=AH$4,AB58,(1+AH$4)*(((1+AH$3)^AB58-(1+AH$4)^AB58)/((1+AH$3)^AB58*(AH$3-AH$4))))</f>
        <v>22.852574044543374</v>
      </c>
      <c r="AJ58" s="18">
        <f>AG58*AH58</f>
        <v>0</v>
      </c>
      <c r="AL58" s="527">
        <f t="shared" ref="AL58" si="387">AL$36</f>
        <v>0</v>
      </c>
      <c r="AM58" s="12">
        <f t="shared" ref="AM58" si="388">AF58+AJ58+AL58</f>
        <v>0</v>
      </c>
      <c r="AN58" s="517" t="e">
        <f t="shared" si="17"/>
        <v>#DIV/0!</v>
      </c>
      <c r="AO58" s="1">
        <f>AO56+1</f>
        <v>26</v>
      </c>
      <c r="AP58" s="63">
        <f>SUM('Kosten Variante4'!P67:Q67)</f>
        <v>0</v>
      </c>
      <c r="AQ58" s="20">
        <f>1/((1+AQ$3)^AO58)</f>
        <v>0.46369472743850448</v>
      </c>
      <c r="AR58" s="11">
        <f t="shared" si="3"/>
        <v>0</v>
      </c>
      <c r="AS58" s="11">
        <f t="shared" si="8"/>
        <v>0</v>
      </c>
      <c r="AT58" s="12">
        <f>AT$6</f>
        <v>0</v>
      </c>
      <c r="AU58" s="21">
        <f>IF(AU$3=AU$4,AO58,(1+AU$4)*(((1+AU$3)^AO58-(1+AU$4)^AO58)/((1+AU$3)^AO58*(AU$3-AU$4))))</f>
        <v>22.852574044543374</v>
      </c>
      <c r="AW58" s="18">
        <f>AT58*AU58</f>
        <v>0</v>
      </c>
      <c r="AY58" s="527">
        <f t="shared" ref="AY58" si="389">AY$36</f>
        <v>0</v>
      </c>
      <c r="AZ58" s="12">
        <f t="shared" ref="AZ58" si="390">AS58+AW58+AY58</f>
        <v>0</v>
      </c>
      <c r="BA58" s="517" t="e">
        <f t="shared" ref="BA58" si="391">BA$3/AZ58*1000</f>
        <v>#DIV/0!</v>
      </c>
      <c r="BB58" s="1">
        <f>BB56+1</f>
        <v>26</v>
      </c>
      <c r="BC58" s="63">
        <f>SUM('Kosten Variante5'!P67:Q67)</f>
        <v>0</v>
      </c>
      <c r="BD58" s="20">
        <f>1/((1+BD$3)^BB58)</f>
        <v>0.46369472743850448</v>
      </c>
      <c r="BE58" s="11">
        <f t="shared" si="4"/>
        <v>0</v>
      </c>
      <c r="BF58" s="11">
        <f t="shared" si="9"/>
        <v>0</v>
      </c>
      <c r="BG58" s="12">
        <f>BG$6</f>
        <v>0</v>
      </c>
      <c r="BH58" s="21">
        <f>IF(BH$3=BH$4,BB58,(1+BH$4)*(((1+BH$3)^BB58-(1+BH$4)^BB58)/((1+BH$3)^BB58*(BH$3-BH$4))))</f>
        <v>22.852574044543374</v>
      </c>
      <c r="BJ58" s="18">
        <f>BG58*BH58</f>
        <v>0</v>
      </c>
      <c r="BL58" s="527">
        <f t="shared" ref="BL58" si="392">BL$36</f>
        <v>0</v>
      </c>
      <c r="BM58" s="12">
        <f t="shared" ref="BM58" si="393">BF58+BJ58+BL58</f>
        <v>0</v>
      </c>
      <c r="BN58" s="517" t="e">
        <f t="shared" ref="BN58" si="394">BN$3/BM58*1000</f>
        <v>#DIV/0!</v>
      </c>
    </row>
    <row r="59" spans="1:66" x14ac:dyDescent="0.2">
      <c r="C59" s="63"/>
      <c r="D59" s="20"/>
      <c r="E59" s="11">
        <f t="shared" si="262"/>
        <v>0</v>
      </c>
      <c r="F59" s="11">
        <f t="shared" si="272"/>
        <v>0</v>
      </c>
      <c r="H59" s="20"/>
      <c r="L59" s="527"/>
      <c r="N59" s="517"/>
      <c r="P59" s="63"/>
      <c r="Q59" s="20"/>
      <c r="R59" s="11">
        <f t="shared" si="264"/>
        <v>0</v>
      </c>
      <c r="S59" s="11">
        <f t="shared" si="273"/>
        <v>0</v>
      </c>
      <c r="U59" s="21"/>
      <c r="Y59" s="527"/>
      <c r="AA59" s="517"/>
      <c r="AC59" s="63"/>
      <c r="AD59" s="20"/>
      <c r="AE59" s="11">
        <f t="shared" si="266"/>
        <v>0</v>
      </c>
      <c r="AF59" s="11">
        <f t="shared" si="274"/>
        <v>0</v>
      </c>
      <c r="AH59" s="20"/>
      <c r="AN59" s="517"/>
      <c r="AP59" s="63"/>
      <c r="AQ59" s="20"/>
      <c r="AR59" s="11">
        <f t="shared" si="3"/>
        <v>0</v>
      </c>
      <c r="AS59" s="11">
        <f t="shared" si="8"/>
        <v>0</v>
      </c>
      <c r="AU59" s="20"/>
      <c r="AY59" s="527"/>
      <c r="BA59" s="517"/>
      <c r="BC59" s="63"/>
      <c r="BD59" s="20"/>
      <c r="BE59" s="11">
        <f t="shared" si="4"/>
        <v>0</v>
      </c>
      <c r="BF59" s="11">
        <f t="shared" si="9"/>
        <v>0</v>
      </c>
      <c r="BH59" s="20"/>
      <c r="BL59" s="527"/>
      <c r="BN59" s="517"/>
    </row>
    <row r="60" spans="1:66" x14ac:dyDescent="0.2">
      <c r="A60" s="1">
        <f>A58+1</f>
        <v>2036</v>
      </c>
      <c r="B60" s="1">
        <f>B58+1</f>
        <v>27</v>
      </c>
      <c r="C60" s="63"/>
      <c r="D60" s="20">
        <f>1/((1+D$3)^B60)</f>
        <v>0.45018905576553836</v>
      </c>
      <c r="E60" s="11">
        <f t="shared" si="262"/>
        <v>0</v>
      </c>
      <c r="F60" s="11">
        <f t="shared" si="272"/>
        <v>0</v>
      </c>
      <c r="G60" s="12">
        <f>G$6</f>
        <v>0</v>
      </c>
      <c r="H60" s="20">
        <f>IF(H$3=H$4,B60,(1+H$4)*(((1+H$3)^B60-(1+H$4)^B60)/((1+H$3)^B60*(H$3-H$4))))</f>
        <v>23.620995655761401</v>
      </c>
      <c r="J60" s="18">
        <f>G60*H60</f>
        <v>0</v>
      </c>
      <c r="L60" s="527">
        <f t="shared" ref="L60" si="395">L$36</f>
        <v>0</v>
      </c>
      <c r="M60" s="12">
        <f t="shared" ref="M60" si="396">F60+J60+L60</f>
        <v>0</v>
      </c>
      <c r="N60" s="517" t="e">
        <f t="shared" si="12"/>
        <v>#DIV/0!</v>
      </c>
      <c r="O60" s="1">
        <f>O58+1</f>
        <v>27</v>
      </c>
      <c r="P60" s="63"/>
      <c r="Q60" s="20">
        <f>1/((1+Q$3)^O60)</f>
        <v>0.45018905576553836</v>
      </c>
      <c r="R60" s="11">
        <f t="shared" si="264"/>
        <v>0</v>
      </c>
      <c r="S60" s="11">
        <f t="shared" si="273"/>
        <v>0</v>
      </c>
      <c r="T60" s="12">
        <f>T$6</f>
        <v>0</v>
      </c>
      <c r="U60" s="21">
        <f>IF(U$3=U$4,O60,(1+U$4)*(((1+U$3)^O60-(1+U$4)^O60)/((1+U$3)^O60*(U$3-U$4))))</f>
        <v>23.620995655761401</v>
      </c>
      <c r="W60" s="18">
        <f>T60*U60</f>
        <v>0</v>
      </c>
      <c r="Y60" s="527">
        <f t="shared" ref="Y60" si="397">Y$36</f>
        <v>0</v>
      </c>
      <c r="Z60" s="12">
        <f t="shared" ref="Z60" si="398">S60+W60+Y60</f>
        <v>0</v>
      </c>
      <c r="AA60" s="517" t="e">
        <f t="shared" si="15"/>
        <v>#DIV/0!</v>
      </c>
      <c r="AB60" s="1">
        <f>AB58+1</f>
        <v>27</v>
      </c>
      <c r="AC60" s="63"/>
      <c r="AD60" s="20">
        <f>1/((1+AD$3)^AB60)</f>
        <v>0.45018905576553836</v>
      </c>
      <c r="AE60" s="11">
        <f t="shared" si="266"/>
        <v>0</v>
      </c>
      <c r="AF60" s="11">
        <f t="shared" si="274"/>
        <v>0</v>
      </c>
      <c r="AG60" s="12">
        <f>AG$6</f>
        <v>0</v>
      </c>
      <c r="AH60" s="21">
        <f>IF(AH$3=AH$4,AB60,(1+AH$4)*(((1+AH$3)^AB60-(1+AH$4)^AB60)/((1+AH$3)^AB60*(AH$3-AH$4))))</f>
        <v>23.620995655761401</v>
      </c>
      <c r="AJ60" s="18">
        <f>AG60*AH60</f>
        <v>0</v>
      </c>
      <c r="AL60" s="527">
        <f t="shared" ref="AL60" si="399">AL$36</f>
        <v>0</v>
      </c>
      <c r="AM60" s="12">
        <f t="shared" ref="AM60" si="400">AF60+AJ60+AL60</f>
        <v>0</v>
      </c>
      <c r="AN60" s="517" t="e">
        <f t="shared" si="17"/>
        <v>#DIV/0!</v>
      </c>
      <c r="AO60" s="1">
        <f>AO58+1</f>
        <v>27</v>
      </c>
      <c r="AP60" s="63"/>
      <c r="AQ60" s="20">
        <f>1/((1+AQ$3)^AO60)</f>
        <v>0.45018905576553836</v>
      </c>
      <c r="AR60" s="11">
        <f t="shared" si="3"/>
        <v>0</v>
      </c>
      <c r="AS60" s="11">
        <f t="shared" si="8"/>
        <v>0</v>
      </c>
      <c r="AT60" s="12">
        <f>AT$6</f>
        <v>0</v>
      </c>
      <c r="AU60" s="21">
        <f>IF(AU$3=AU$4,AO60,(1+AU$4)*(((1+AU$3)^AO60-(1+AU$4)^AO60)/((1+AU$3)^AO60*(AU$3-AU$4))))</f>
        <v>23.620995655761401</v>
      </c>
      <c r="AW60" s="18">
        <f>AT60*AU60</f>
        <v>0</v>
      </c>
      <c r="AY60" s="527">
        <f t="shared" ref="AY60" si="401">AY$36</f>
        <v>0</v>
      </c>
      <c r="AZ60" s="12">
        <f t="shared" ref="AZ60" si="402">AS60+AW60+AY60</f>
        <v>0</v>
      </c>
      <c r="BA60" s="517" t="e">
        <f t="shared" ref="BA60" si="403">BA$3/AZ60*1000</f>
        <v>#DIV/0!</v>
      </c>
      <c r="BB60" s="1">
        <f>BB58+1</f>
        <v>27</v>
      </c>
      <c r="BC60" s="63"/>
      <c r="BD60" s="20">
        <f>1/((1+BD$3)^BB60)</f>
        <v>0.45018905576553836</v>
      </c>
      <c r="BE60" s="11">
        <f t="shared" si="4"/>
        <v>0</v>
      </c>
      <c r="BF60" s="11">
        <f t="shared" si="9"/>
        <v>0</v>
      </c>
      <c r="BG60" s="12">
        <f>BG$6</f>
        <v>0</v>
      </c>
      <c r="BH60" s="21">
        <f>IF(BH$3=BH$4,BB60,(1+BH$4)*(((1+BH$3)^BB60-(1+BH$4)^BB60)/((1+BH$3)^BB60*(BH$3-BH$4))))</f>
        <v>23.620995655761401</v>
      </c>
      <c r="BJ60" s="18">
        <f>BG60*BH60</f>
        <v>0</v>
      </c>
      <c r="BL60" s="527">
        <f t="shared" ref="BL60" si="404">BL$36</f>
        <v>0</v>
      </c>
      <c r="BM60" s="12">
        <f t="shared" ref="BM60" si="405">BF60+BJ60+BL60</f>
        <v>0</v>
      </c>
      <c r="BN60" s="517" t="e">
        <f t="shared" ref="BN60" si="406">BN$3/BM60*1000</f>
        <v>#DIV/0!</v>
      </c>
    </row>
    <row r="61" spans="1:66" x14ac:dyDescent="0.2">
      <c r="C61" s="63"/>
      <c r="D61" s="20"/>
      <c r="E61" s="11">
        <f t="shared" si="262"/>
        <v>0</v>
      </c>
      <c r="F61" s="11">
        <f t="shared" si="272"/>
        <v>0</v>
      </c>
      <c r="H61" s="20"/>
      <c r="L61" s="527"/>
      <c r="N61" s="517"/>
      <c r="P61" s="63"/>
      <c r="Q61" s="20"/>
      <c r="R61" s="11">
        <f t="shared" si="264"/>
        <v>0</v>
      </c>
      <c r="S61" s="11">
        <f t="shared" si="273"/>
        <v>0</v>
      </c>
      <c r="U61" s="21"/>
      <c r="Y61" s="527"/>
      <c r="AA61" s="517"/>
      <c r="AC61" s="63"/>
      <c r="AD61" s="20"/>
      <c r="AE61" s="11">
        <f t="shared" si="266"/>
        <v>0</v>
      </c>
      <c r="AF61" s="11">
        <f t="shared" si="274"/>
        <v>0</v>
      </c>
      <c r="AH61" s="20"/>
      <c r="AN61" s="517"/>
      <c r="AP61" s="63"/>
      <c r="AQ61" s="20"/>
      <c r="AR61" s="11">
        <f t="shared" si="3"/>
        <v>0</v>
      </c>
      <c r="AS61" s="11">
        <f t="shared" si="8"/>
        <v>0</v>
      </c>
      <c r="AU61" s="20"/>
      <c r="AY61" s="527"/>
      <c r="BA61" s="517"/>
      <c r="BC61" s="63"/>
      <c r="BD61" s="20"/>
      <c r="BE61" s="11">
        <f t="shared" si="4"/>
        <v>0</v>
      </c>
      <c r="BF61" s="11">
        <f t="shared" si="9"/>
        <v>0</v>
      </c>
      <c r="BH61" s="20"/>
      <c r="BL61" s="527"/>
      <c r="BN61" s="517"/>
    </row>
    <row r="62" spans="1:66" x14ac:dyDescent="0.2">
      <c r="A62" s="1">
        <f>A60+1</f>
        <v>2037</v>
      </c>
      <c r="B62" s="1">
        <f>B60+1</f>
        <v>28</v>
      </c>
      <c r="C62" s="63"/>
      <c r="D62" s="20">
        <f>1/((1+D$3)^B62)</f>
        <v>0.4370767531704256</v>
      </c>
      <c r="E62" s="11">
        <f t="shared" si="262"/>
        <v>0</v>
      </c>
      <c r="F62" s="11">
        <f t="shared" si="272"/>
        <v>0</v>
      </c>
      <c r="G62" s="12">
        <f>G$6</f>
        <v>0</v>
      </c>
      <c r="H62" s="20">
        <f>IF(H$3=H$4,B62,(1+H$4)*(((1+H$3)^B62-(1+H$4)^B62)/((1+H$3)^B62*(H$3-H$4))))</f>
        <v>24.381956862987003</v>
      </c>
      <c r="J62" s="18">
        <f>G62*H62</f>
        <v>0</v>
      </c>
      <c r="L62" s="527">
        <f t="shared" ref="L62" si="407">L$36</f>
        <v>0</v>
      </c>
      <c r="M62" s="12">
        <f t="shared" ref="M62" si="408">F62+J62+L62</f>
        <v>0</v>
      </c>
      <c r="N62" s="517" t="e">
        <f t="shared" si="12"/>
        <v>#DIV/0!</v>
      </c>
      <c r="O62" s="1">
        <f>O60+1</f>
        <v>28</v>
      </c>
      <c r="P62" s="63"/>
      <c r="Q62" s="20">
        <f>1/((1+Q$3)^O62)</f>
        <v>0.4370767531704256</v>
      </c>
      <c r="R62" s="11">
        <f t="shared" si="264"/>
        <v>0</v>
      </c>
      <c r="S62" s="11">
        <f t="shared" si="273"/>
        <v>0</v>
      </c>
      <c r="T62" s="12">
        <f>T$6</f>
        <v>0</v>
      </c>
      <c r="U62" s="21">
        <f>IF(U$3=U$4,O62,(1+U$4)*(((1+U$3)^O62-(1+U$4)^O62)/((1+U$3)^O62*(U$3-U$4))))</f>
        <v>24.381956862987003</v>
      </c>
      <c r="W62" s="18">
        <f>T62*U62</f>
        <v>0</v>
      </c>
      <c r="Y62" s="527">
        <f t="shared" ref="Y62" si="409">Y$36</f>
        <v>0</v>
      </c>
      <c r="Z62" s="12">
        <f t="shared" ref="Z62" si="410">S62+W62+Y62</f>
        <v>0</v>
      </c>
      <c r="AA62" s="517" t="e">
        <f t="shared" si="15"/>
        <v>#DIV/0!</v>
      </c>
      <c r="AB62" s="1">
        <f>AB60+1</f>
        <v>28</v>
      </c>
      <c r="AC62" s="63"/>
      <c r="AD62" s="20">
        <f>1/((1+AD$3)^AB62)</f>
        <v>0.4370767531704256</v>
      </c>
      <c r="AE62" s="11">
        <f t="shared" si="266"/>
        <v>0</v>
      </c>
      <c r="AF62" s="11">
        <f t="shared" si="274"/>
        <v>0</v>
      </c>
      <c r="AG62" s="12">
        <f>AG$6</f>
        <v>0</v>
      </c>
      <c r="AH62" s="21">
        <f>IF(AH$3=AH$4,AB62,(1+AH$4)*(((1+AH$3)^AB62-(1+AH$4)^AB62)/((1+AH$3)^AB62*(AH$3-AH$4))))</f>
        <v>24.381956862987003</v>
      </c>
      <c r="AJ62" s="18">
        <f>AG62*AH62</f>
        <v>0</v>
      </c>
      <c r="AL62" s="527">
        <f t="shared" ref="AL62" si="411">AL$36</f>
        <v>0</v>
      </c>
      <c r="AM62" s="12">
        <f t="shared" ref="AM62" si="412">AF62+AJ62+AL62</f>
        <v>0</v>
      </c>
      <c r="AN62" s="517" t="e">
        <f t="shared" si="17"/>
        <v>#DIV/0!</v>
      </c>
      <c r="AO62" s="1">
        <f>AO60+1</f>
        <v>28</v>
      </c>
      <c r="AP62" s="63"/>
      <c r="AQ62" s="20">
        <f>1/((1+AQ$3)^AO62)</f>
        <v>0.4370767531704256</v>
      </c>
      <c r="AR62" s="11">
        <f t="shared" si="3"/>
        <v>0</v>
      </c>
      <c r="AS62" s="11">
        <f t="shared" si="8"/>
        <v>0</v>
      </c>
      <c r="AT62" s="12">
        <f>AT$6</f>
        <v>0</v>
      </c>
      <c r="AU62" s="21">
        <f>IF(AU$3=AU$4,AO62,(1+AU$4)*(((1+AU$3)^AO62-(1+AU$4)^AO62)/((1+AU$3)^AO62*(AU$3-AU$4))))</f>
        <v>24.381956862987003</v>
      </c>
      <c r="AW62" s="18">
        <f>AT62*AU62</f>
        <v>0</v>
      </c>
      <c r="AY62" s="527">
        <f t="shared" ref="AY62" si="413">AY$36</f>
        <v>0</v>
      </c>
      <c r="AZ62" s="12">
        <f t="shared" ref="AZ62" si="414">AS62+AW62+AY62</f>
        <v>0</v>
      </c>
      <c r="BA62" s="517" t="e">
        <f t="shared" ref="BA62" si="415">BA$3/AZ62*1000</f>
        <v>#DIV/0!</v>
      </c>
      <c r="BB62" s="1">
        <f>BB60+1</f>
        <v>28</v>
      </c>
      <c r="BC62" s="63"/>
      <c r="BD62" s="20">
        <f>1/((1+BD$3)^BB62)</f>
        <v>0.4370767531704256</v>
      </c>
      <c r="BE62" s="11">
        <f t="shared" si="4"/>
        <v>0</v>
      </c>
      <c r="BF62" s="11">
        <f t="shared" si="9"/>
        <v>0</v>
      </c>
      <c r="BG62" s="12">
        <f>BG$6</f>
        <v>0</v>
      </c>
      <c r="BH62" s="21">
        <f>IF(BH$3=BH$4,BB62,(1+BH$4)*(((1+BH$3)^BB62-(1+BH$4)^BB62)/((1+BH$3)^BB62*(BH$3-BH$4))))</f>
        <v>24.381956862987003</v>
      </c>
      <c r="BJ62" s="18">
        <f>BG62*BH62</f>
        <v>0</v>
      </c>
      <c r="BL62" s="527">
        <f t="shared" ref="BL62" si="416">BL$36</f>
        <v>0</v>
      </c>
      <c r="BM62" s="12">
        <f t="shared" ref="BM62" si="417">BF62+BJ62+BL62</f>
        <v>0</v>
      </c>
      <c r="BN62" s="517" t="e">
        <f t="shared" ref="BN62" si="418">BN$3/BM62*1000</f>
        <v>#DIV/0!</v>
      </c>
    </row>
    <row r="63" spans="1:66" x14ac:dyDescent="0.2">
      <c r="C63" s="63"/>
      <c r="D63" s="20"/>
      <c r="E63" s="11">
        <f t="shared" si="262"/>
        <v>0</v>
      </c>
      <c r="F63" s="11">
        <f t="shared" si="272"/>
        <v>0</v>
      </c>
      <c r="H63" s="20"/>
      <c r="L63" s="527"/>
      <c r="N63" s="517"/>
      <c r="P63" s="63"/>
      <c r="Q63" s="20"/>
      <c r="R63" s="11">
        <f t="shared" si="264"/>
        <v>0</v>
      </c>
      <c r="S63" s="11">
        <f t="shared" si="273"/>
        <v>0</v>
      </c>
      <c r="U63" s="21"/>
      <c r="Y63" s="527"/>
      <c r="AA63" s="517"/>
      <c r="AC63" s="63"/>
      <c r="AD63" s="20"/>
      <c r="AE63" s="11">
        <f t="shared" si="266"/>
        <v>0</v>
      </c>
      <c r="AF63" s="11">
        <f t="shared" si="274"/>
        <v>0</v>
      </c>
      <c r="AH63" s="20"/>
      <c r="AN63" s="517"/>
      <c r="AP63" s="63"/>
      <c r="AQ63" s="20"/>
      <c r="AR63" s="11">
        <f t="shared" si="3"/>
        <v>0</v>
      </c>
      <c r="AS63" s="11">
        <f t="shared" si="8"/>
        <v>0</v>
      </c>
      <c r="AU63" s="20"/>
      <c r="AY63" s="527"/>
      <c r="BA63" s="517"/>
      <c r="BC63" s="63"/>
      <c r="BD63" s="20"/>
      <c r="BE63" s="11">
        <f t="shared" si="4"/>
        <v>0</v>
      </c>
      <c r="BF63" s="11">
        <f t="shared" si="9"/>
        <v>0</v>
      </c>
      <c r="BH63" s="20"/>
      <c r="BL63" s="527"/>
      <c r="BN63" s="517"/>
    </row>
    <row r="64" spans="1:66" x14ac:dyDescent="0.2">
      <c r="A64" s="1">
        <f>A62+1</f>
        <v>2038</v>
      </c>
      <c r="B64" s="1">
        <f>B62+1</f>
        <v>29</v>
      </c>
      <c r="C64" s="63"/>
      <c r="D64" s="20">
        <f>1/((1+D$3)^B64)</f>
        <v>0.42434636230138412</v>
      </c>
      <c r="E64" s="11">
        <f t="shared" si="262"/>
        <v>0</v>
      </c>
      <c r="F64" s="11">
        <f t="shared" si="272"/>
        <v>0</v>
      </c>
      <c r="G64" s="12">
        <f>G$6</f>
        <v>0</v>
      </c>
      <c r="H64" s="20">
        <f>IF(H$3=H$4,B64,(1+H$4)*(((1+H$3)^B64-(1+H$4)^B64)/((1+H$3)^B64*(H$3-H$4))))</f>
        <v>25.135530097326942</v>
      </c>
      <c r="J64" s="18">
        <f>G64*H64</f>
        <v>0</v>
      </c>
      <c r="L64" s="527">
        <f t="shared" ref="L64" si="419">L$36</f>
        <v>0</v>
      </c>
      <c r="M64" s="12">
        <f t="shared" ref="M64" si="420">F64+J64+L64</f>
        <v>0</v>
      </c>
      <c r="N64" s="517" t="e">
        <f t="shared" si="12"/>
        <v>#DIV/0!</v>
      </c>
      <c r="O64" s="1">
        <f>O62+1</f>
        <v>29</v>
      </c>
      <c r="P64" s="63"/>
      <c r="Q64" s="20">
        <f>1/((1+Q$3)^O64)</f>
        <v>0.42434636230138412</v>
      </c>
      <c r="R64" s="11">
        <f t="shared" si="264"/>
        <v>0</v>
      </c>
      <c r="S64" s="11">
        <f t="shared" si="273"/>
        <v>0</v>
      </c>
      <c r="T64" s="12">
        <f>T$6</f>
        <v>0</v>
      </c>
      <c r="U64" s="21">
        <f>IF(U$3=U$4,O64,(1+U$4)*(((1+U$3)^O64-(1+U$4)^O64)/((1+U$3)^O64*(U$3-U$4))))</f>
        <v>25.135530097326942</v>
      </c>
      <c r="W64" s="18">
        <f>T64*U64</f>
        <v>0</v>
      </c>
      <c r="Y64" s="527">
        <f t="shared" ref="Y64" si="421">Y$36</f>
        <v>0</v>
      </c>
      <c r="Z64" s="12">
        <f t="shared" ref="Z64" si="422">S64+W64+Y64</f>
        <v>0</v>
      </c>
      <c r="AA64" s="517" t="e">
        <f t="shared" si="15"/>
        <v>#DIV/0!</v>
      </c>
      <c r="AB64" s="1">
        <f>AB62+1</f>
        <v>29</v>
      </c>
      <c r="AC64" s="63"/>
      <c r="AD64" s="20">
        <f>1/((1+AD$3)^AB64)</f>
        <v>0.42434636230138412</v>
      </c>
      <c r="AE64" s="11">
        <f t="shared" si="266"/>
        <v>0</v>
      </c>
      <c r="AF64" s="11">
        <f t="shared" si="274"/>
        <v>0</v>
      </c>
      <c r="AG64" s="12">
        <f>AG$6</f>
        <v>0</v>
      </c>
      <c r="AH64" s="21">
        <f>IF(AH$3=AH$4,AB64,(1+AH$4)*(((1+AH$3)^AB64-(1+AH$4)^AB64)/((1+AH$3)^AB64*(AH$3-AH$4))))</f>
        <v>25.135530097326942</v>
      </c>
      <c r="AJ64" s="18">
        <f>AG64*AH64</f>
        <v>0</v>
      </c>
      <c r="AL64" s="527">
        <f t="shared" ref="AL64" si="423">AL$36</f>
        <v>0</v>
      </c>
      <c r="AM64" s="12">
        <f t="shared" ref="AM64" si="424">AF64+AJ64+AL64</f>
        <v>0</v>
      </c>
      <c r="AN64" s="517" t="e">
        <f t="shared" si="17"/>
        <v>#DIV/0!</v>
      </c>
      <c r="AO64" s="1">
        <f>AO62+1</f>
        <v>29</v>
      </c>
      <c r="AP64" s="63"/>
      <c r="AQ64" s="20">
        <f>1/((1+AQ$3)^AO64)</f>
        <v>0.42434636230138412</v>
      </c>
      <c r="AR64" s="11">
        <f t="shared" si="3"/>
        <v>0</v>
      </c>
      <c r="AS64" s="11">
        <f t="shared" si="8"/>
        <v>0</v>
      </c>
      <c r="AT64" s="12">
        <f>AT$6</f>
        <v>0</v>
      </c>
      <c r="AU64" s="21">
        <f>IF(AU$3=AU$4,AO64,(1+AU$4)*(((1+AU$3)^AO64-(1+AU$4)^AO64)/((1+AU$3)^AO64*(AU$3-AU$4))))</f>
        <v>25.135530097326942</v>
      </c>
      <c r="AW64" s="18">
        <f>AT64*AU64</f>
        <v>0</v>
      </c>
      <c r="AY64" s="527">
        <f t="shared" ref="AY64" si="425">AY$36</f>
        <v>0</v>
      </c>
      <c r="AZ64" s="12">
        <f t="shared" ref="AZ64" si="426">AS64+AW64+AY64</f>
        <v>0</v>
      </c>
      <c r="BA64" s="517" t="e">
        <f t="shared" ref="BA64" si="427">BA$3/AZ64*1000</f>
        <v>#DIV/0!</v>
      </c>
      <c r="BB64" s="1">
        <f>BB62+1</f>
        <v>29</v>
      </c>
      <c r="BC64" s="63"/>
      <c r="BD64" s="20">
        <f>1/((1+BD$3)^BB64)</f>
        <v>0.42434636230138412</v>
      </c>
      <c r="BE64" s="11">
        <f t="shared" si="4"/>
        <v>0</v>
      </c>
      <c r="BF64" s="11">
        <f t="shared" si="9"/>
        <v>0</v>
      </c>
      <c r="BG64" s="12">
        <f>BG$6</f>
        <v>0</v>
      </c>
      <c r="BH64" s="21">
        <f>IF(BH$3=BH$4,BB64,(1+BH$4)*(((1+BH$3)^BB64-(1+BH$4)^BB64)/((1+BH$3)^BB64*(BH$3-BH$4))))</f>
        <v>25.135530097326942</v>
      </c>
      <c r="BJ64" s="18">
        <f>BG64*BH64</f>
        <v>0</v>
      </c>
      <c r="BL64" s="527">
        <f t="shared" ref="BL64" si="428">BL$36</f>
        <v>0</v>
      </c>
      <c r="BM64" s="12">
        <f t="shared" ref="BM64" si="429">BF64+BJ64+BL64</f>
        <v>0</v>
      </c>
      <c r="BN64" s="517" t="e">
        <f t="shared" ref="BN64" si="430">BN$3/BM64*1000</f>
        <v>#DIV/0!</v>
      </c>
    </row>
    <row r="65" spans="1:66" x14ac:dyDescent="0.2">
      <c r="C65" s="63"/>
      <c r="D65" s="20"/>
      <c r="E65" s="11">
        <f t="shared" si="262"/>
        <v>0</v>
      </c>
      <c r="F65" s="11">
        <f t="shared" si="272"/>
        <v>0</v>
      </c>
      <c r="H65" s="20"/>
      <c r="L65" s="527"/>
      <c r="N65" s="517"/>
      <c r="P65" s="63"/>
      <c r="Q65" s="20"/>
      <c r="R65" s="11">
        <f t="shared" si="264"/>
        <v>0</v>
      </c>
      <c r="S65" s="11">
        <f t="shared" si="273"/>
        <v>0</v>
      </c>
      <c r="U65" s="21"/>
      <c r="Y65" s="527"/>
      <c r="AA65" s="517"/>
      <c r="AC65" s="63"/>
      <c r="AD65" s="20"/>
      <c r="AE65" s="11">
        <f t="shared" si="266"/>
        <v>0</v>
      </c>
      <c r="AF65" s="11">
        <f t="shared" si="274"/>
        <v>0</v>
      </c>
      <c r="AH65" s="20"/>
      <c r="AN65" s="517"/>
      <c r="AP65" s="63"/>
      <c r="AQ65" s="20"/>
      <c r="AR65" s="11">
        <f t="shared" si="3"/>
        <v>0</v>
      </c>
      <c r="AS65" s="11">
        <f t="shared" si="8"/>
        <v>0</v>
      </c>
      <c r="AU65" s="20"/>
      <c r="AY65" s="527"/>
      <c r="BA65" s="517"/>
      <c r="BC65" s="63"/>
      <c r="BD65" s="20"/>
      <c r="BE65" s="11">
        <f t="shared" si="4"/>
        <v>0</v>
      </c>
      <c r="BF65" s="11">
        <f t="shared" si="9"/>
        <v>0</v>
      </c>
      <c r="BH65" s="20"/>
      <c r="BL65" s="527"/>
      <c r="BN65" s="517"/>
    </row>
    <row r="66" spans="1:66" x14ac:dyDescent="0.2">
      <c r="A66" s="1">
        <f>A64+1</f>
        <v>2039</v>
      </c>
      <c r="B66" s="1">
        <f>B64+1</f>
        <v>30</v>
      </c>
      <c r="C66" s="63"/>
      <c r="D66" s="20">
        <f>1/((1+D$3)^B66)</f>
        <v>0.41198675951590691</v>
      </c>
      <c r="E66" s="11">
        <f t="shared" si="262"/>
        <v>0</v>
      </c>
      <c r="F66" s="11">
        <f t="shared" si="272"/>
        <v>0</v>
      </c>
      <c r="G66" s="12">
        <f>G$6</f>
        <v>0</v>
      </c>
      <c r="H66" s="20">
        <f>IF(H$3=H$4,B66,(1+H$4)*(((1+H$3)^B66-(1+H$4)^B66)/((1+H$3)^B66*(H$3-H$4))))</f>
        <v>25.881787086673278</v>
      </c>
      <c r="J66" s="18">
        <f>G66*H66</f>
        <v>0</v>
      </c>
      <c r="L66" s="527">
        <f t="shared" ref="L66" si="431">L$36</f>
        <v>0</v>
      </c>
      <c r="M66" s="12">
        <f t="shared" ref="M66" si="432">F66+J66+L66</f>
        <v>0</v>
      </c>
      <c r="N66" s="517" t="e">
        <f t="shared" si="12"/>
        <v>#DIV/0!</v>
      </c>
      <c r="O66" s="1">
        <f>O64+1</f>
        <v>30</v>
      </c>
      <c r="P66" s="63"/>
      <c r="Q66" s="20">
        <f>1/((1+Q$3)^O66)</f>
        <v>0.41198675951590691</v>
      </c>
      <c r="R66" s="11">
        <f t="shared" si="264"/>
        <v>0</v>
      </c>
      <c r="S66" s="11">
        <f t="shared" si="273"/>
        <v>0</v>
      </c>
      <c r="T66" s="12">
        <f>T$6</f>
        <v>0</v>
      </c>
      <c r="U66" s="21">
        <f>IF(U$3=U$4,O66,(1+U$4)*(((1+U$3)^O66-(1+U$4)^O66)/((1+U$3)^O66*(U$3-U$4))))</f>
        <v>25.881787086673278</v>
      </c>
      <c r="W66" s="18">
        <f>T66*U66</f>
        <v>0</v>
      </c>
      <c r="Y66" s="527">
        <f t="shared" ref="Y66" si="433">Y$36</f>
        <v>0</v>
      </c>
      <c r="Z66" s="12">
        <f t="shared" ref="Z66" si="434">S66+W66+Y66</f>
        <v>0</v>
      </c>
      <c r="AA66" s="517" t="e">
        <f t="shared" si="15"/>
        <v>#DIV/0!</v>
      </c>
      <c r="AB66" s="1">
        <f>AB64+1</f>
        <v>30</v>
      </c>
      <c r="AC66" s="63"/>
      <c r="AD66" s="20">
        <f>1/((1+AD$3)^AB66)</f>
        <v>0.41198675951590691</v>
      </c>
      <c r="AE66" s="11">
        <f t="shared" si="266"/>
        <v>0</v>
      </c>
      <c r="AF66" s="11">
        <f t="shared" si="274"/>
        <v>0</v>
      </c>
      <c r="AG66" s="12">
        <f>AG$6</f>
        <v>0</v>
      </c>
      <c r="AH66" s="21">
        <f>IF(AH$3=AH$4,AB66,(1+AH$4)*(((1+AH$3)^AB66-(1+AH$4)^AB66)/((1+AH$3)^AB66*(AH$3-AH$4))))</f>
        <v>25.881787086673278</v>
      </c>
      <c r="AJ66" s="18">
        <f>AG66*AH66</f>
        <v>0</v>
      </c>
      <c r="AL66" s="527">
        <f t="shared" ref="AL66" si="435">AL$36</f>
        <v>0</v>
      </c>
      <c r="AM66" s="12">
        <f t="shared" ref="AM66" si="436">AF66+AJ66+AL66</f>
        <v>0</v>
      </c>
      <c r="AN66" s="517" t="e">
        <f t="shared" si="17"/>
        <v>#DIV/0!</v>
      </c>
      <c r="AO66" s="1">
        <f>AO64+1</f>
        <v>30</v>
      </c>
      <c r="AP66" s="63"/>
      <c r="AQ66" s="20">
        <f>1/((1+AQ$3)^AO66)</f>
        <v>0.41198675951590691</v>
      </c>
      <c r="AR66" s="11">
        <f t="shared" si="3"/>
        <v>0</v>
      </c>
      <c r="AS66" s="11">
        <f t="shared" si="8"/>
        <v>0</v>
      </c>
      <c r="AT66" s="12">
        <f>AT$6</f>
        <v>0</v>
      </c>
      <c r="AU66" s="21">
        <f>IF(AU$3=AU$4,AO66,(1+AU$4)*(((1+AU$3)^AO66-(1+AU$4)^AO66)/((1+AU$3)^AO66*(AU$3-AU$4))))</f>
        <v>25.881787086673278</v>
      </c>
      <c r="AW66" s="18">
        <f>AT66*AU66</f>
        <v>0</v>
      </c>
      <c r="AY66" s="527">
        <f t="shared" ref="AY66" si="437">AY$36</f>
        <v>0</v>
      </c>
      <c r="AZ66" s="12">
        <f t="shared" ref="AZ66" si="438">AS66+AW66+AY66</f>
        <v>0</v>
      </c>
      <c r="BA66" s="517" t="e">
        <f t="shared" ref="BA66" si="439">BA$3/AZ66*1000</f>
        <v>#DIV/0!</v>
      </c>
      <c r="BB66" s="1">
        <f>BB64+1</f>
        <v>30</v>
      </c>
      <c r="BC66" s="63"/>
      <c r="BD66" s="20">
        <f>1/((1+BD$3)^BB66)</f>
        <v>0.41198675951590691</v>
      </c>
      <c r="BE66" s="11">
        <f t="shared" si="4"/>
        <v>0</v>
      </c>
      <c r="BF66" s="11">
        <f t="shared" si="9"/>
        <v>0</v>
      </c>
      <c r="BG66" s="12">
        <f>BG$6</f>
        <v>0</v>
      </c>
      <c r="BH66" s="21">
        <f>IF(BH$3=BH$4,BB66,(1+BH$4)*(((1+BH$3)^BB66-(1+BH$4)^BB66)/((1+BH$3)^BB66*(BH$3-BH$4))))</f>
        <v>25.881787086673278</v>
      </c>
      <c r="BJ66" s="18">
        <f>BG66*BH66</f>
        <v>0</v>
      </c>
      <c r="BL66" s="527">
        <f t="shared" ref="BL66" si="440">BL$36</f>
        <v>0</v>
      </c>
      <c r="BM66" s="12">
        <f t="shared" ref="BM66" si="441">BF66+BJ66+BL66</f>
        <v>0</v>
      </c>
      <c r="BN66" s="517" t="e">
        <f t="shared" ref="BN66" si="442">BN$3/BM66*1000</f>
        <v>#DIV/0!</v>
      </c>
    </row>
    <row r="67" spans="1:66" x14ac:dyDescent="0.2">
      <c r="C67" s="63"/>
      <c r="D67" s="20"/>
      <c r="E67" s="11">
        <f t="shared" si="262"/>
        <v>0</v>
      </c>
      <c r="F67" s="11">
        <f t="shared" si="272"/>
        <v>0</v>
      </c>
      <c r="H67" s="20"/>
      <c r="L67" s="527"/>
      <c r="N67" s="517"/>
      <c r="P67" s="63"/>
      <c r="Q67" s="20"/>
      <c r="R67" s="11">
        <f t="shared" si="264"/>
        <v>0</v>
      </c>
      <c r="S67" s="11">
        <f t="shared" si="273"/>
        <v>0</v>
      </c>
      <c r="U67" s="21"/>
      <c r="Y67" s="527"/>
      <c r="AA67" s="517"/>
      <c r="AC67" s="63"/>
      <c r="AD67" s="20"/>
      <c r="AE67" s="11">
        <f t="shared" si="266"/>
        <v>0</v>
      </c>
      <c r="AF67" s="11">
        <f t="shared" si="274"/>
        <v>0</v>
      </c>
      <c r="AH67" s="20"/>
      <c r="AN67" s="517"/>
      <c r="AP67" s="63"/>
      <c r="AQ67" s="20"/>
      <c r="AR67" s="11">
        <f t="shared" si="3"/>
        <v>0</v>
      </c>
      <c r="AS67" s="11">
        <f t="shared" si="8"/>
        <v>0</v>
      </c>
      <c r="AU67" s="20"/>
      <c r="AY67" s="527"/>
      <c r="BA67" s="517"/>
      <c r="BC67" s="63"/>
      <c r="BD67" s="20"/>
      <c r="BE67" s="11">
        <f t="shared" si="4"/>
        <v>0</v>
      </c>
      <c r="BF67" s="11">
        <f t="shared" si="9"/>
        <v>0</v>
      </c>
      <c r="BH67" s="20"/>
      <c r="BL67" s="527"/>
      <c r="BN67" s="517"/>
    </row>
    <row r="68" spans="1:66" x14ac:dyDescent="0.2">
      <c r="A68" s="1">
        <f>A66+1</f>
        <v>2040</v>
      </c>
      <c r="B68" s="1">
        <f>B66+1</f>
        <v>31</v>
      </c>
      <c r="C68" s="63"/>
      <c r="D68" s="20">
        <f>1/((1+D$3)^B68)</f>
        <v>0.39998714516107459</v>
      </c>
      <c r="E68" s="11">
        <f t="shared" si="262"/>
        <v>0</v>
      </c>
      <c r="F68" s="11">
        <f t="shared" si="272"/>
        <v>0</v>
      </c>
      <c r="G68" s="12">
        <f>G$6</f>
        <v>0</v>
      </c>
      <c r="H68" s="20">
        <f>IF(H$3=H$4,B68,(1+H$4)*(((1+H$3)^B68-(1+H$4)^B68)/((1+H$3)^B68*(H$3-H$4))))</f>
        <v>26.620798862530851</v>
      </c>
      <c r="J68" s="18">
        <f>G68*H68</f>
        <v>0</v>
      </c>
      <c r="L68" s="527">
        <f t="shared" ref="L68" si="443">L$36</f>
        <v>0</v>
      </c>
      <c r="M68" s="12">
        <f t="shared" ref="M68" si="444">F68+J68+L68</f>
        <v>0</v>
      </c>
      <c r="N68" s="517" t="e">
        <f t="shared" si="12"/>
        <v>#DIV/0!</v>
      </c>
      <c r="O68" s="1">
        <f>O66+1</f>
        <v>31</v>
      </c>
      <c r="P68" s="63"/>
      <c r="Q68" s="20">
        <f>1/((1+Q$3)^O68)</f>
        <v>0.39998714516107459</v>
      </c>
      <c r="R68" s="11">
        <f t="shared" si="264"/>
        <v>0</v>
      </c>
      <c r="S68" s="11">
        <f t="shared" si="273"/>
        <v>0</v>
      </c>
      <c r="T68" s="12">
        <f>T$6</f>
        <v>0</v>
      </c>
      <c r="U68" s="21">
        <f>IF(U$3=U$4,O68,(1+U$4)*(((1+U$3)^O68-(1+U$4)^O68)/((1+U$3)^O68*(U$3-U$4))))</f>
        <v>26.620798862530851</v>
      </c>
      <c r="W68" s="18">
        <f>T68*U68</f>
        <v>0</v>
      </c>
      <c r="Y68" s="527">
        <f t="shared" ref="Y68" si="445">Y$36</f>
        <v>0</v>
      </c>
      <c r="Z68" s="12">
        <f t="shared" ref="Z68" si="446">S68+W68+Y68</f>
        <v>0</v>
      </c>
      <c r="AA68" s="517" t="e">
        <f t="shared" si="15"/>
        <v>#DIV/0!</v>
      </c>
      <c r="AB68" s="1">
        <f>AB66+1</f>
        <v>31</v>
      </c>
      <c r="AC68" s="63"/>
      <c r="AD68" s="20">
        <f>1/((1+AD$3)^AB68)</f>
        <v>0.39998714516107459</v>
      </c>
      <c r="AE68" s="11">
        <f t="shared" si="266"/>
        <v>0</v>
      </c>
      <c r="AF68" s="11">
        <f t="shared" si="274"/>
        <v>0</v>
      </c>
      <c r="AG68" s="12">
        <f>AG$6</f>
        <v>0</v>
      </c>
      <c r="AH68" s="21">
        <f>IF(AH$3=AH$4,AB68,(1+AH$4)*(((1+AH$3)^AB68-(1+AH$4)^AB68)/((1+AH$3)^AB68*(AH$3-AH$4))))</f>
        <v>26.620798862530851</v>
      </c>
      <c r="AJ68" s="18">
        <f>AG68*AH68</f>
        <v>0</v>
      </c>
      <c r="AL68" s="527">
        <f t="shared" ref="AL68" si="447">AL$36</f>
        <v>0</v>
      </c>
      <c r="AM68" s="12">
        <f t="shared" ref="AM68" si="448">AF68+AJ68+AL68</f>
        <v>0</v>
      </c>
      <c r="AN68" s="517" t="e">
        <f t="shared" si="17"/>
        <v>#DIV/0!</v>
      </c>
      <c r="AO68" s="1">
        <f>AO66+1</f>
        <v>31</v>
      </c>
      <c r="AP68" s="63"/>
      <c r="AQ68" s="20">
        <f>1/((1+AQ$3)^AO68)</f>
        <v>0.39998714516107459</v>
      </c>
      <c r="AR68" s="11">
        <f t="shared" si="3"/>
        <v>0</v>
      </c>
      <c r="AS68" s="11">
        <f t="shared" si="8"/>
        <v>0</v>
      </c>
      <c r="AT68" s="12">
        <f>AT$6</f>
        <v>0</v>
      </c>
      <c r="AU68" s="21">
        <f>IF(AU$3=AU$4,AO68,(1+AU$4)*(((1+AU$3)^AO68-(1+AU$4)^AO68)/((1+AU$3)^AO68*(AU$3-AU$4))))</f>
        <v>26.620798862530851</v>
      </c>
      <c r="AW68" s="18">
        <f>AT68*AU68</f>
        <v>0</v>
      </c>
      <c r="AY68" s="527">
        <f t="shared" ref="AY68" si="449">AY$36</f>
        <v>0</v>
      </c>
      <c r="AZ68" s="12">
        <f t="shared" ref="AZ68" si="450">AS68+AW68+AY68</f>
        <v>0</v>
      </c>
      <c r="BA68" s="517" t="e">
        <f t="shared" ref="BA68" si="451">BA$3/AZ68*1000</f>
        <v>#DIV/0!</v>
      </c>
      <c r="BB68" s="1">
        <f>BB66+1</f>
        <v>31</v>
      </c>
      <c r="BC68" s="63"/>
      <c r="BD68" s="20">
        <f>1/((1+BD$3)^BB68)</f>
        <v>0.39998714516107459</v>
      </c>
      <c r="BE68" s="11">
        <f t="shared" si="4"/>
        <v>0</v>
      </c>
      <c r="BF68" s="11">
        <f t="shared" si="9"/>
        <v>0</v>
      </c>
      <c r="BG68" s="12">
        <f>BG$6</f>
        <v>0</v>
      </c>
      <c r="BH68" s="21">
        <f>IF(BH$3=BH$4,BB68,(1+BH$4)*(((1+BH$3)^BB68-(1+BH$4)^BB68)/((1+BH$3)^BB68*(BH$3-BH$4))))</f>
        <v>26.620798862530851</v>
      </c>
      <c r="BJ68" s="18">
        <f>BG68*BH68</f>
        <v>0</v>
      </c>
      <c r="BL68" s="527">
        <f t="shared" ref="BL68" si="452">BL$36</f>
        <v>0</v>
      </c>
      <c r="BM68" s="12">
        <f t="shared" ref="BM68" si="453">BF68+BJ68+BL68</f>
        <v>0</v>
      </c>
      <c r="BN68" s="517" t="e">
        <f t="shared" ref="BN68" si="454">BN$3/BM68*1000</f>
        <v>#DIV/0!</v>
      </c>
    </row>
    <row r="69" spans="1:66" x14ac:dyDescent="0.2">
      <c r="C69" s="63"/>
      <c r="D69" s="20"/>
      <c r="E69" s="11">
        <f t="shared" si="262"/>
        <v>0</v>
      </c>
      <c r="F69" s="11">
        <f t="shared" si="272"/>
        <v>0</v>
      </c>
      <c r="H69" s="20"/>
      <c r="L69" s="527"/>
      <c r="N69" s="517"/>
      <c r="P69" s="63"/>
      <c r="Q69" s="20"/>
      <c r="R69" s="11">
        <f t="shared" si="264"/>
        <v>0</v>
      </c>
      <c r="S69" s="11">
        <f t="shared" si="273"/>
        <v>0</v>
      </c>
      <c r="U69" s="21"/>
      <c r="Y69" s="527"/>
      <c r="AA69" s="517"/>
      <c r="AC69" s="63"/>
      <c r="AD69" s="20"/>
      <c r="AE69" s="11">
        <f t="shared" si="266"/>
        <v>0</v>
      </c>
      <c r="AF69" s="11">
        <f t="shared" si="274"/>
        <v>0</v>
      </c>
      <c r="AH69" s="20"/>
      <c r="AN69" s="517"/>
      <c r="AP69" s="63"/>
      <c r="AQ69" s="20"/>
      <c r="AR69" s="11">
        <f t="shared" si="3"/>
        <v>0</v>
      </c>
      <c r="AS69" s="11">
        <f t="shared" si="8"/>
        <v>0</v>
      </c>
      <c r="AU69" s="20"/>
      <c r="AY69" s="527"/>
      <c r="BA69" s="517"/>
      <c r="BC69" s="63"/>
      <c r="BD69" s="20"/>
      <c r="BE69" s="11">
        <f t="shared" si="4"/>
        <v>0</v>
      </c>
      <c r="BF69" s="11">
        <f t="shared" si="9"/>
        <v>0</v>
      </c>
      <c r="BH69" s="20"/>
      <c r="BL69" s="527"/>
      <c r="BN69" s="517"/>
    </row>
    <row r="70" spans="1:66" x14ac:dyDescent="0.2">
      <c r="A70" s="1">
        <f>A68+1</f>
        <v>2041</v>
      </c>
      <c r="B70" s="1">
        <f>B68+1</f>
        <v>32</v>
      </c>
      <c r="C70" s="63"/>
      <c r="D70" s="20">
        <f>1/((1+D$3)^B70)</f>
        <v>0.38833703413696569</v>
      </c>
      <c r="E70" s="11">
        <f t="shared" ref="E70:E101" si="455">C70*D70</f>
        <v>0</v>
      </c>
      <c r="F70" s="11">
        <f t="shared" si="272"/>
        <v>0</v>
      </c>
      <c r="G70" s="12">
        <f>G$6</f>
        <v>0</v>
      </c>
      <c r="H70" s="20">
        <f>IF(H$3=H$4,B70,(1+H$4)*(((1+H$3)^B70-(1+H$4)^B70)/((1+H$3)^B70*(H$3-H$4))))</f>
        <v>27.352635766778089</v>
      </c>
      <c r="J70" s="18">
        <f>G70*H70</f>
        <v>0</v>
      </c>
      <c r="L70" s="527">
        <f t="shared" ref="L70" si="456">L$36</f>
        <v>0</v>
      </c>
      <c r="M70" s="12">
        <f t="shared" ref="M70" si="457">F70+J70+L70</f>
        <v>0</v>
      </c>
      <c r="N70" s="517" t="e">
        <f t="shared" si="12"/>
        <v>#DIV/0!</v>
      </c>
      <c r="O70" s="1">
        <f>O68+1</f>
        <v>32</v>
      </c>
      <c r="P70" s="63"/>
      <c r="Q70" s="20">
        <f>1/((1+Q$3)^O70)</f>
        <v>0.38833703413696569</v>
      </c>
      <c r="R70" s="11">
        <f t="shared" ref="R70:R101" si="458">P70*Q70</f>
        <v>0</v>
      </c>
      <c r="S70" s="11">
        <f t="shared" si="273"/>
        <v>0</v>
      </c>
      <c r="T70" s="12">
        <f>T$6</f>
        <v>0</v>
      </c>
      <c r="U70" s="21">
        <f>IF(U$3=U$4,O70,(1+U$4)*(((1+U$3)^O70-(1+U$4)^O70)/((1+U$3)^O70*(U$3-U$4))))</f>
        <v>27.352635766778089</v>
      </c>
      <c r="W70" s="18">
        <f>T70*U70</f>
        <v>0</v>
      </c>
      <c r="Y70" s="527">
        <f t="shared" ref="Y70" si="459">Y$36</f>
        <v>0</v>
      </c>
      <c r="Z70" s="12">
        <f t="shared" ref="Z70" si="460">S70+W70+Y70</f>
        <v>0</v>
      </c>
      <c r="AA70" s="517" t="e">
        <f t="shared" si="15"/>
        <v>#DIV/0!</v>
      </c>
      <c r="AB70" s="1">
        <f>AB68+1</f>
        <v>32</v>
      </c>
      <c r="AC70" s="63"/>
      <c r="AD70" s="20">
        <f>1/((1+AD$3)^AB70)</f>
        <v>0.38833703413696569</v>
      </c>
      <c r="AE70" s="11">
        <f t="shared" ref="AE70:AE101" si="461">AC70*AD70</f>
        <v>0</v>
      </c>
      <c r="AF70" s="11">
        <f t="shared" si="274"/>
        <v>0</v>
      </c>
      <c r="AG70" s="12">
        <f>AG$6</f>
        <v>0</v>
      </c>
      <c r="AH70" s="21">
        <f>IF(AH$3=AH$4,AB70,(1+AH$4)*(((1+AH$3)^AB70-(1+AH$4)^AB70)/((1+AH$3)^AB70*(AH$3-AH$4))))</f>
        <v>27.352635766778089</v>
      </c>
      <c r="AJ70" s="18">
        <f>AG70*AH70</f>
        <v>0</v>
      </c>
      <c r="AL70" s="527">
        <f t="shared" ref="AL70" si="462">AL$36</f>
        <v>0</v>
      </c>
      <c r="AM70" s="12">
        <f t="shared" ref="AM70" si="463">AF70+AJ70+AL70</f>
        <v>0</v>
      </c>
      <c r="AN70" s="517" t="e">
        <f t="shared" si="17"/>
        <v>#DIV/0!</v>
      </c>
      <c r="AO70" s="1">
        <f>AO68+1</f>
        <v>32</v>
      </c>
      <c r="AP70" s="63"/>
      <c r="AQ70" s="20">
        <f>1/((1+AQ$3)^AO70)</f>
        <v>0.38833703413696569</v>
      </c>
      <c r="AR70" s="11">
        <f t="shared" ref="AR70:AR101" si="464">AP70*AQ70</f>
        <v>0</v>
      </c>
      <c r="AS70" s="11">
        <f t="shared" si="8"/>
        <v>0</v>
      </c>
      <c r="AT70" s="12">
        <f>AT$6</f>
        <v>0</v>
      </c>
      <c r="AU70" s="21">
        <f>IF(AU$3=AU$4,AO70,(1+AU$4)*(((1+AU$3)^AO70-(1+AU$4)^AO70)/((1+AU$3)^AO70*(AU$3-AU$4))))</f>
        <v>27.352635766778089</v>
      </c>
      <c r="AW70" s="18">
        <f>AT70*AU70</f>
        <v>0</v>
      </c>
      <c r="AY70" s="527">
        <f t="shared" ref="AY70" si="465">AY$36</f>
        <v>0</v>
      </c>
      <c r="AZ70" s="12">
        <f t="shared" ref="AZ70" si="466">AS70+AW70+AY70</f>
        <v>0</v>
      </c>
      <c r="BA70" s="517" t="e">
        <f t="shared" ref="BA70" si="467">BA$3/AZ70*1000</f>
        <v>#DIV/0!</v>
      </c>
      <c r="BB70" s="1">
        <f>BB68+1</f>
        <v>32</v>
      </c>
      <c r="BC70" s="63"/>
      <c r="BD70" s="20">
        <f>1/((1+BD$3)^BB70)</f>
        <v>0.38833703413696569</v>
      </c>
      <c r="BE70" s="11">
        <f t="shared" ref="BE70:BE101" si="468">BC70*BD70</f>
        <v>0</v>
      </c>
      <c r="BF70" s="11">
        <f t="shared" si="9"/>
        <v>0</v>
      </c>
      <c r="BG70" s="12">
        <f>BG$6</f>
        <v>0</v>
      </c>
      <c r="BH70" s="21">
        <f>IF(BH$3=BH$4,BB70,(1+BH$4)*(((1+BH$3)^BB70-(1+BH$4)^BB70)/((1+BH$3)^BB70*(BH$3-BH$4))))</f>
        <v>27.352635766778089</v>
      </c>
      <c r="BJ70" s="18">
        <f>BG70*BH70</f>
        <v>0</v>
      </c>
      <c r="BL70" s="527">
        <f t="shared" ref="BL70" si="469">BL$36</f>
        <v>0</v>
      </c>
      <c r="BM70" s="12">
        <f t="shared" ref="BM70" si="470">BF70+BJ70+BL70</f>
        <v>0</v>
      </c>
      <c r="BN70" s="517" t="e">
        <f t="shared" ref="BN70" si="471">BN$3/BM70*1000</f>
        <v>#DIV/0!</v>
      </c>
    </row>
    <row r="71" spans="1:66" x14ac:dyDescent="0.2">
      <c r="C71" s="63"/>
      <c r="D71" s="20"/>
      <c r="E71" s="11">
        <f t="shared" si="455"/>
        <v>0</v>
      </c>
      <c r="F71" s="11">
        <f t="shared" ref="F71:F102" si="472">F70+E71</f>
        <v>0</v>
      </c>
      <c r="H71" s="20"/>
      <c r="L71" s="527"/>
      <c r="N71" s="517"/>
      <c r="P71" s="63"/>
      <c r="Q71" s="20"/>
      <c r="R71" s="11">
        <f t="shared" si="458"/>
        <v>0</v>
      </c>
      <c r="S71" s="11">
        <f t="shared" ref="S71:S102" si="473">S70+R71</f>
        <v>0</v>
      </c>
      <c r="U71" s="21"/>
      <c r="Y71" s="527"/>
      <c r="AA71" s="517"/>
      <c r="AC71" s="63"/>
      <c r="AD71" s="20"/>
      <c r="AE71" s="11">
        <f t="shared" si="461"/>
        <v>0</v>
      </c>
      <c r="AF71" s="11">
        <f t="shared" ref="AF71:AF102" si="474">AF70+AE71</f>
        <v>0</v>
      </c>
      <c r="AH71" s="20"/>
      <c r="AN71" s="517"/>
      <c r="AP71" s="63"/>
      <c r="AQ71" s="20"/>
      <c r="AR71" s="11">
        <f t="shared" si="464"/>
        <v>0</v>
      </c>
      <c r="AS71" s="11">
        <f t="shared" ref="AS71:AS102" si="475">AS70+AR71</f>
        <v>0</v>
      </c>
      <c r="AU71" s="20"/>
      <c r="AY71" s="527"/>
      <c r="BA71" s="517"/>
      <c r="BC71" s="63"/>
      <c r="BD71" s="20"/>
      <c r="BE71" s="11">
        <f t="shared" si="468"/>
        <v>0</v>
      </c>
      <c r="BF71" s="11">
        <f t="shared" ref="BF71:BF102" si="476">BF70+BE71</f>
        <v>0</v>
      </c>
      <c r="BH71" s="20"/>
      <c r="BL71" s="527"/>
      <c r="BN71" s="517"/>
    </row>
    <row r="72" spans="1:66" x14ac:dyDescent="0.2">
      <c r="A72" s="1">
        <f>A70+1</f>
        <v>2042</v>
      </c>
      <c r="B72" s="1">
        <f>B70+1</f>
        <v>33</v>
      </c>
      <c r="C72" s="63"/>
      <c r="D72" s="20">
        <f>1/((1+D$3)^B72)</f>
        <v>0.37702624673491814</v>
      </c>
      <c r="E72" s="11">
        <f t="shared" si="455"/>
        <v>0</v>
      </c>
      <c r="F72" s="11">
        <f t="shared" si="472"/>
        <v>0</v>
      </c>
      <c r="G72" s="12">
        <f>G$6</f>
        <v>0</v>
      </c>
      <c r="H72" s="20">
        <f>IF(H$3=H$4,B72,(1+H$4)*(((1+H$3)^B72-(1+H$4)^B72)/((1+H$3)^B72*(H$3-H$4))))</f>
        <v>28.077367458362769</v>
      </c>
      <c r="J72" s="18">
        <f>G72*H72</f>
        <v>0</v>
      </c>
      <c r="L72" s="527">
        <f t="shared" ref="L72" si="477">L$36</f>
        <v>0</v>
      </c>
      <c r="M72" s="12">
        <f t="shared" ref="M72" si="478">F72+J72+L72</f>
        <v>0</v>
      </c>
      <c r="N72" s="517" t="e">
        <f t="shared" ref="N72:N106" si="479">N$3/M72*1000</f>
        <v>#DIV/0!</v>
      </c>
      <c r="O72" s="1">
        <f>O70+1</f>
        <v>33</v>
      </c>
      <c r="P72" s="63"/>
      <c r="Q72" s="20">
        <f>1/((1+Q$3)^O72)</f>
        <v>0.37702624673491814</v>
      </c>
      <c r="R72" s="11">
        <f t="shared" si="458"/>
        <v>0</v>
      </c>
      <c r="S72" s="11">
        <f t="shared" si="473"/>
        <v>0</v>
      </c>
      <c r="T72" s="12">
        <f>T$6</f>
        <v>0</v>
      </c>
      <c r="U72" s="21">
        <f>IF(U$3=U$4,O72,(1+U$4)*(((1+U$3)^O72-(1+U$4)^O72)/((1+U$3)^O72*(U$3-U$4))))</f>
        <v>28.077367458362769</v>
      </c>
      <c r="W72" s="18">
        <f>T72*U72</f>
        <v>0</v>
      </c>
      <c r="Y72" s="527">
        <f t="shared" ref="Y72" si="480">Y$36</f>
        <v>0</v>
      </c>
      <c r="Z72" s="12">
        <f t="shared" ref="Z72" si="481">S72+W72+Y72</f>
        <v>0</v>
      </c>
      <c r="AA72" s="517" t="e">
        <f t="shared" ref="AA72:AA106" si="482">AA$3/Z72*1000</f>
        <v>#DIV/0!</v>
      </c>
      <c r="AB72" s="1">
        <f>AB70+1</f>
        <v>33</v>
      </c>
      <c r="AC72" s="63"/>
      <c r="AD72" s="20">
        <f>1/((1+AD$3)^AB72)</f>
        <v>0.37702624673491814</v>
      </c>
      <c r="AE72" s="11">
        <f t="shared" si="461"/>
        <v>0</v>
      </c>
      <c r="AF72" s="11">
        <f t="shared" si="474"/>
        <v>0</v>
      </c>
      <c r="AG72" s="12">
        <f>AG$6</f>
        <v>0</v>
      </c>
      <c r="AH72" s="21">
        <f>IF(AH$3=AH$4,AB72,(1+AH$4)*(((1+AH$3)^AB72-(1+AH$4)^AB72)/((1+AH$3)^AB72*(AH$3-AH$4))))</f>
        <v>28.077367458362769</v>
      </c>
      <c r="AJ72" s="18">
        <f>AG72*AH72</f>
        <v>0</v>
      </c>
      <c r="AL72" s="527">
        <f t="shared" ref="AL72" si="483">AL$36</f>
        <v>0</v>
      </c>
      <c r="AM72" s="12">
        <f t="shared" ref="AM72" si="484">AF72+AJ72+AL72</f>
        <v>0</v>
      </c>
      <c r="AN72" s="517" t="e">
        <f t="shared" ref="AN72:AN106" si="485">AN$3/AM72*1000</f>
        <v>#DIV/0!</v>
      </c>
      <c r="AO72" s="1">
        <f>AO70+1</f>
        <v>33</v>
      </c>
      <c r="AP72" s="63"/>
      <c r="AQ72" s="20">
        <f>1/((1+AQ$3)^AO72)</f>
        <v>0.37702624673491814</v>
      </c>
      <c r="AR72" s="11">
        <f t="shared" si="464"/>
        <v>0</v>
      </c>
      <c r="AS72" s="11">
        <f t="shared" si="475"/>
        <v>0</v>
      </c>
      <c r="AT72" s="12">
        <f>AT$6</f>
        <v>0</v>
      </c>
      <c r="AU72" s="21">
        <f>IF(AU$3=AU$4,AO72,(1+AU$4)*(((1+AU$3)^AO72-(1+AU$4)^AO72)/((1+AU$3)^AO72*(AU$3-AU$4))))</f>
        <v>28.077367458362769</v>
      </c>
      <c r="AW72" s="18">
        <f>AT72*AU72</f>
        <v>0</v>
      </c>
      <c r="AY72" s="527">
        <f t="shared" ref="AY72" si="486">AY$36</f>
        <v>0</v>
      </c>
      <c r="AZ72" s="12">
        <f t="shared" ref="AZ72" si="487">AS72+AW72+AY72</f>
        <v>0</v>
      </c>
      <c r="BA72" s="517" t="e">
        <f t="shared" ref="BA72" si="488">BA$3/AZ72*1000</f>
        <v>#DIV/0!</v>
      </c>
      <c r="BB72" s="1">
        <f>BB70+1</f>
        <v>33</v>
      </c>
      <c r="BC72" s="63"/>
      <c r="BD72" s="20">
        <f>1/((1+BD$3)^BB72)</f>
        <v>0.37702624673491814</v>
      </c>
      <c r="BE72" s="11">
        <f t="shared" si="468"/>
        <v>0</v>
      </c>
      <c r="BF72" s="11">
        <f t="shared" si="476"/>
        <v>0</v>
      </c>
      <c r="BG72" s="12">
        <f>BG$6</f>
        <v>0</v>
      </c>
      <c r="BH72" s="21">
        <f>IF(BH$3=BH$4,BB72,(1+BH$4)*(((1+BH$3)^BB72-(1+BH$4)^BB72)/((1+BH$3)^BB72*(BH$3-BH$4))))</f>
        <v>28.077367458362769</v>
      </c>
      <c r="BJ72" s="18">
        <f>BG72*BH72</f>
        <v>0</v>
      </c>
      <c r="BL72" s="527">
        <f t="shared" ref="BL72" si="489">BL$36</f>
        <v>0</v>
      </c>
      <c r="BM72" s="12">
        <f t="shared" ref="BM72" si="490">BF72+BJ72+BL72</f>
        <v>0</v>
      </c>
      <c r="BN72" s="517" t="e">
        <f t="shared" ref="BN72" si="491">BN$3/BM72*1000</f>
        <v>#DIV/0!</v>
      </c>
    </row>
    <row r="73" spans="1:66" x14ac:dyDescent="0.2">
      <c r="C73" s="63"/>
      <c r="D73" s="20"/>
      <c r="E73" s="11">
        <f t="shared" si="455"/>
        <v>0</v>
      </c>
      <c r="F73" s="11">
        <f t="shared" si="472"/>
        <v>0</v>
      </c>
      <c r="H73" s="20"/>
      <c r="L73" s="527"/>
      <c r="N73" s="517"/>
      <c r="P73" s="63"/>
      <c r="Q73" s="20"/>
      <c r="R73" s="11">
        <f t="shared" si="458"/>
        <v>0</v>
      </c>
      <c r="S73" s="11">
        <f t="shared" si="473"/>
        <v>0</v>
      </c>
      <c r="U73" s="21"/>
      <c r="Y73" s="527"/>
      <c r="AA73" s="517"/>
      <c r="AC73" s="63"/>
      <c r="AD73" s="20"/>
      <c r="AE73" s="11">
        <f t="shared" si="461"/>
        <v>0</v>
      </c>
      <c r="AF73" s="11">
        <f t="shared" si="474"/>
        <v>0</v>
      </c>
      <c r="AH73" s="20"/>
      <c r="AN73" s="517"/>
      <c r="AP73" s="63"/>
      <c r="AQ73" s="20"/>
      <c r="AR73" s="11">
        <f t="shared" si="464"/>
        <v>0</v>
      </c>
      <c r="AS73" s="11">
        <f t="shared" si="475"/>
        <v>0</v>
      </c>
      <c r="AU73" s="20"/>
      <c r="AY73" s="527"/>
      <c r="BA73" s="517"/>
      <c r="BC73" s="63"/>
      <c r="BD73" s="20"/>
      <c r="BE73" s="11">
        <f t="shared" si="468"/>
        <v>0</v>
      </c>
      <c r="BF73" s="11">
        <f t="shared" si="476"/>
        <v>0</v>
      </c>
      <c r="BH73" s="20"/>
      <c r="BL73" s="527"/>
      <c r="BN73" s="517"/>
    </row>
    <row r="74" spans="1:66" x14ac:dyDescent="0.2">
      <c r="A74" s="1">
        <f>A72+1</f>
        <v>2043</v>
      </c>
      <c r="B74" s="1">
        <f>B72+1</f>
        <v>34</v>
      </c>
      <c r="C74" s="63"/>
      <c r="D74" s="20">
        <f>1/((1+D$3)^B74)</f>
        <v>0.36604489974263904</v>
      </c>
      <c r="E74" s="11">
        <f t="shared" si="455"/>
        <v>0</v>
      </c>
      <c r="F74" s="11">
        <f t="shared" si="472"/>
        <v>0</v>
      </c>
      <c r="G74" s="12">
        <f>G$6</f>
        <v>0</v>
      </c>
      <c r="H74" s="20">
        <f>IF(H$3=H$4,B74,(1+H$4)*(((1+H$3)^B74-(1+H$4)^B74)/((1+H$3)^B74*(H$3-H$4))))</f>
        <v>28.795062919932057</v>
      </c>
      <c r="J74" s="18">
        <f>G74*H74</f>
        <v>0</v>
      </c>
      <c r="L74" s="527">
        <f t="shared" ref="L74" si="492">L$36</f>
        <v>0</v>
      </c>
      <c r="M74" s="12">
        <f t="shared" ref="M74" si="493">F74+J74+L74</f>
        <v>0</v>
      </c>
      <c r="N74" s="517" t="e">
        <f t="shared" si="479"/>
        <v>#DIV/0!</v>
      </c>
      <c r="O74" s="1">
        <f>O72+1</f>
        <v>34</v>
      </c>
      <c r="P74" s="63"/>
      <c r="Q74" s="20">
        <f>1/((1+Q$3)^O74)</f>
        <v>0.36604489974263904</v>
      </c>
      <c r="R74" s="11">
        <f t="shared" si="458"/>
        <v>0</v>
      </c>
      <c r="S74" s="11">
        <f t="shared" si="473"/>
        <v>0</v>
      </c>
      <c r="T74" s="12">
        <f>T$6</f>
        <v>0</v>
      </c>
      <c r="U74" s="21">
        <f>IF(U$3=U$4,O74,(1+U$4)*(((1+U$3)^O74-(1+U$4)^O74)/((1+U$3)^O74*(U$3-U$4))))</f>
        <v>28.795062919932057</v>
      </c>
      <c r="W74" s="18">
        <f>T74*U74</f>
        <v>0</v>
      </c>
      <c r="Y74" s="527">
        <f t="shared" ref="Y74" si="494">Y$36</f>
        <v>0</v>
      </c>
      <c r="Z74" s="12">
        <f t="shared" ref="Z74" si="495">S74+W74+Y74</f>
        <v>0</v>
      </c>
      <c r="AA74" s="517" t="e">
        <f t="shared" si="482"/>
        <v>#DIV/0!</v>
      </c>
      <c r="AB74" s="1">
        <f>AB72+1</f>
        <v>34</v>
      </c>
      <c r="AC74" s="63"/>
      <c r="AD74" s="20">
        <f>1/((1+AD$3)^AB74)</f>
        <v>0.36604489974263904</v>
      </c>
      <c r="AE74" s="11">
        <f t="shared" si="461"/>
        <v>0</v>
      </c>
      <c r="AF74" s="11">
        <f t="shared" si="474"/>
        <v>0</v>
      </c>
      <c r="AG74" s="12">
        <f>AG$6</f>
        <v>0</v>
      </c>
      <c r="AH74" s="21">
        <f>IF(AH$3=AH$4,AB74,(1+AH$4)*(((1+AH$3)^AB74-(1+AH$4)^AB74)/((1+AH$3)^AB74*(AH$3-AH$4))))</f>
        <v>28.795062919932057</v>
      </c>
      <c r="AJ74" s="18">
        <f>AG74*AH74</f>
        <v>0</v>
      </c>
      <c r="AL74" s="527">
        <f t="shared" ref="AL74" si="496">AL$36</f>
        <v>0</v>
      </c>
      <c r="AM74" s="12">
        <f t="shared" ref="AM74" si="497">AF74+AJ74+AL74</f>
        <v>0</v>
      </c>
      <c r="AN74" s="517" t="e">
        <f t="shared" si="485"/>
        <v>#DIV/0!</v>
      </c>
      <c r="AO74" s="1">
        <f>AO72+1</f>
        <v>34</v>
      </c>
      <c r="AP74" s="63"/>
      <c r="AQ74" s="20">
        <f>1/((1+AQ$3)^AO74)</f>
        <v>0.36604489974263904</v>
      </c>
      <c r="AR74" s="11">
        <f t="shared" si="464"/>
        <v>0</v>
      </c>
      <c r="AS74" s="11">
        <f t="shared" si="475"/>
        <v>0</v>
      </c>
      <c r="AT74" s="12">
        <f>AT$6</f>
        <v>0</v>
      </c>
      <c r="AU74" s="21">
        <f>IF(AU$3=AU$4,AO74,(1+AU$4)*(((1+AU$3)^AO74-(1+AU$4)^AO74)/((1+AU$3)^AO74*(AU$3-AU$4))))</f>
        <v>28.795062919932057</v>
      </c>
      <c r="AW74" s="18">
        <f>AT74*AU74</f>
        <v>0</v>
      </c>
      <c r="AY74" s="527">
        <f t="shared" ref="AY74" si="498">AY$36</f>
        <v>0</v>
      </c>
      <c r="AZ74" s="12">
        <f t="shared" ref="AZ74" si="499">AS74+AW74+AY74</f>
        <v>0</v>
      </c>
      <c r="BA74" s="517" t="e">
        <f t="shared" ref="BA74" si="500">BA$3/AZ74*1000</f>
        <v>#DIV/0!</v>
      </c>
      <c r="BB74" s="1">
        <f>BB72+1</f>
        <v>34</v>
      </c>
      <c r="BC74" s="63"/>
      <c r="BD74" s="20">
        <f>1/((1+BD$3)^BB74)</f>
        <v>0.36604489974263904</v>
      </c>
      <c r="BE74" s="11">
        <f t="shared" si="468"/>
        <v>0</v>
      </c>
      <c r="BF74" s="11">
        <f t="shared" si="476"/>
        <v>0</v>
      </c>
      <c r="BG74" s="12">
        <f>BG$6</f>
        <v>0</v>
      </c>
      <c r="BH74" s="21">
        <f>IF(BH$3=BH$4,BB74,(1+BH$4)*(((1+BH$3)^BB74-(1+BH$4)^BB74)/((1+BH$3)^BB74*(BH$3-BH$4))))</f>
        <v>28.795062919932057</v>
      </c>
      <c r="BJ74" s="18">
        <f>BG74*BH74</f>
        <v>0</v>
      </c>
      <c r="BL74" s="527">
        <f t="shared" ref="BL74" si="501">BL$36</f>
        <v>0</v>
      </c>
      <c r="BM74" s="12">
        <f t="shared" ref="BM74" si="502">BF74+BJ74+BL74</f>
        <v>0</v>
      </c>
      <c r="BN74" s="517" t="e">
        <f t="shared" ref="BN74" si="503">BN$3/BM74*1000</f>
        <v>#DIV/0!</v>
      </c>
    </row>
    <row r="75" spans="1:66" x14ac:dyDescent="0.2">
      <c r="C75" s="63"/>
      <c r="D75" s="20"/>
      <c r="E75" s="11">
        <f t="shared" si="455"/>
        <v>0</v>
      </c>
      <c r="F75" s="11">
        <f t="shared" si="472"/>
        <v>0</v>
      </c>
      <c r="H75" s="20"/>
      <c r="L75" s="527"/>
      <c r="N75" s="517"/>
      <c r="P75" s="63"/>
      <c r="Q75" s="20"/>
      <c r="R75" s="11">
        <f t="shared" si="458"/>
        <v>0</v>
      </c>
      <c r="S75" s="11">
        <f t="shared" si="473"/>
        <v>0</v>
      </c>
      <c r="U75" s="21"/>
      <c r="Y75" s="527"/>
      <c r="AA75" s="517"/>
      <c r="AC75" s="63"/>
      <c r="AD75" s="20"/>
      <c r="AE75" s="11">
        <f t="shared" si="461"/>
        <v>0</v>
      </c>
      <c r="AF75" s="11">
        <f t="shared" si="474"/>
        <v>0</v>
      </c>
      <c r="AH75" s="20"/>
      <c r="AN75" s="517"/>
      <c r="AP75" s="63"/>
      <c r="AQ75" s="20"/>
      <c r="AR75" s="11">
        <f t="shared" si="464"/>
        <v>0</v>
      </c>
      <c r="AS75" s="11">
        <f t="shared" si="475"/>
        <v>0</v>
      </c>
      <c r="AU75" s="20"/>
      <c r="AY75" s="527"/>
      <c r="BA75" s="517"/>
      <c r="BC75" s="63"/>
      <c r="BD75" s="20"/>
      <c r="BE75" s="11">
        <f t="shared" si="468"/>
        <v>0</v>
      </c>
      <c r="BF75" s="11">
        <f t="shared" si="476"/>
        <v>0</v>
      </c>
      <c r="BH75" s="20"/>
      <c r="BL75" s="527"/>
      <c r="BN75" s="517"/>
    </row>
    <row r="76" spans="1:66" x14ac:dyDescent="0.2">
      <c r="A76" s="1">
        <f>A74+1</f>
        <v>2044</v>
      </c>
      <c r="B76" s="1">
        <f>B74+1</f>
        <v>35</v>
      </c>
      <c r="C76" s="63"/>
      <c r="D76" s="20">
        <f>1/((1+D$3)^B76)</f>
        <v>0.35538339780838735</v>
      </c>
      <c r="E76" s="11">
        <f t="shared" si="455"/>
        <v>0</v>
      </c>
      <c r="F76" s="11">
        <f t="shared" si="472"/>
        <v>0</v>
      </c>
      <c r="G76" s="12">
        <f>G$6</f>
        <v>0</v>
      </c>
      <c r="H76" s="20">
        <f>IF(H$3=H$4,B76,(1+H$4)*(((1+H$3)^B76-(1+H$4)^B76)/((1+H$3)^B76*(H$3-H$4))))</f>
        <v>29.50579046439875</v>
      </c>
      <c r="J76" s="18">
        <f>G76*H76</f>
        <v>0</v>
      </c>
      <c r="L76" s="527">
        <f t="shared" ref="L76" si="504">L$36</f>
        <v>0</v>
      </c>
      <c r="M76" s="12">
        <f t="shared" ref="M76" si="505">F76+J76+L76</f>
        <v>0</v>
      </c>
      <c r="N76" s="517" t="e">
        <f t="shared" si="479"/>
        <v>#DIV/0!</v>
      </c>
      <c r="O76" s="1">
        <f>O74+1</f>
        <v>35</v>
      </c>
      <c r="P76" s="63"/>
      <c r="Q76" s="20">
        <f>1/((1+Q$3)^O76)</f>
        <v>0.35538339780838735</v>
      </c>
      <c r="R76" s="11">
        <f t="shared" si="458"/>
        <v>0</v>
      </c>
      <c r="S76" s="11">
        <f t="shared" si="473"/>
        <v>0</v>
      </c>
      <c r="T76" s="12">
        <f>T$6</f>
        <v>0</v>
      </c>
      <c r="U76" s="21">
        <f>IF(U$3=U$4,O76,(1+U$4)*(((1+U$3)^O76-(1+U$4)^O76)/((1+U$3)^O76*(U$3-U$4))))</f>
        <v>29.50579046439875</v>
      </c>
      <c r="W76" s="18">
        <f>T76*U76</f>
        <v>0</v>
      </c>
      <c r="Y76" s="527">
        <f t="shared" ref="Y76" si="506">Y$36</f>
        <v>0</v>
      </c>
      <c r="Z76" s="12">
        <f t="shared" ref="Z76" si="507">S76+W76+Y76</f>
        <v>0</v>
      </c>
      <c r="AA76" s="517" t="e">
        <f t="shared" si="482"/>
        <v>#DIV/0!</v>
      </c>
      <c r="AB76" s="1">
        <f>AB74+1</f>
        <v>35</v>
      </c>
      <c r="AC76" s="63"/>
      <c r="AD76" s="20">
        <f>1/((1+AD$3)^AB76)</f>
        <v>0.35538339780838735</v>
      </c>
      <c r="AE76" s="11">
        <f t="shared" si="461"/>
        <v>0</v>
      </c>
      <c r="AF76" s="11">
        <f t="shared" si="474"/>
        <v>0</v>
      </c>
      <c r="AG76" s="12">
        <f>AG$6</f>
        <v>0</v>
      </c>
      <c r="AH76" s="21">
        <f>IF(AH$3=AH$4,AB76,(1+AH$4)*(((1+AH$3)^AB76-(1+AH$4)^AB76)/((1+AH$3)^AB76*(AH$3-AH$4))))</f>
        <v>29.50579046439875</v>
      </c>
      <c r="AJ76" s="18">
        <f>AG76*AH76</f>
        <v>0</v>
      </c>
      <c r="AL76" s="527">
        <f t="shared" ref="AL76" si="508">AL$36</f>
        <v>0</v>
      </c>
      <c r="AM76" s="12">
        <f t="shared" ref="AM76" si="509">AF76+AJ76+AL76</f>
        <v>0</v>
      </c>
      <c r="AN76" s="517" t="e">
        <f t="shared" si="485"/>
        <v>#DIV/0!</v>
      </c>
      <c r="AO76" s="1">
        <f>AO74+1</f>
        <v>35</v>
      </c>
      <c r="AP76" s="63"/>
      <c r="AQ76" s="20">
        <f>1/((1+AQ$3)^AO76)</f>
        <v>0.35538339780838735</v>
      </c>
      <c r="AR76" s="11">
        <f t="shared" si="464"/>
        <v>0</v>
      </c>
      <c r="AS76" s="11">
        <f t="shared" si="475"/>
        <v>0</v>
      </c>
      <c r="AT76" s="12">
        <f>AT$6</f>
        <v>0</v>
      </c>
      <c r="AU76" s="21">
        <f>IF(AU$3=AU$4,AO76,(1+AU$4)*(((1+AU$3)^AO76-(1+AU$4)^AO76)/((1+AU$3)^AO76*(AU$3-AU$4))))</f>
        <v>29.50579046439875</v>
      </c>
      <c r="AW76" s="18">
        <f>AT76*AU76</f>
        <v>0</v>
      </c>
      <c r="AY76" s="527">
        <f t="shared" ref="AY76" si="510">AY$36</f>
        <v>0</v>
      </c>
      <c r="AZ76" s="12">
        <f t="shared" ref="AZ76" si="511">AS76+AW76+AY76</f>
        <v>0</v>
      </c>
      <c r="BA76" s="517" t="e">
        <f t="shared" ref="BA76" si="512">BA$3/AZ76*1000</f>
        <v>#DIV/0!</v>
      </c>
      <c r="BB76" s="1">
        <f>BB74+1</f>
        <v>35</v>
      </c>
      <c r="BC76" s="63"/>
      <c r="BD76" s="20">
        <f>1/((1+BD$3)^BB76)</f>
        <v>0.35538339780838735</v>
      </c>
      <c r="BE76" s="11">
        <f t="shared" si="468"/>
        <v>0</v>
      </c>
      <c r="BF76" s="11">
        <f t="shared" si="476"/>
        <v>0</v>
      </c>
      <c r="BG76" s="12">
        <f>BG$6</f>
        <v>0</v>
      </c>
      <c r="BH76" s="21">
        <f>IF(BH$3=BH$4,BB76,(1+BH$4)*(((1+BH$3)^BB76-(1+BH$4)^BB76)/((1+BH$3)^BB76*(BH$3-BH$4))))</f>
        <v>29.50579046439875</v>
      </c>
      <c r="BJ76" s="18">
        <f>BG76*BH76</f>
        <v>0</v>
      </c>
      <c r="BL76" s="527">
        <f t="shared" ref="BL76" si="513">BL$36</f>
        <v>0</v>
      </c>
      <c r="BM76" s="12">
        <f t="shared" ref="BM76" si="514">BF76+BJ76+BL76</f>
        <v>0</v>
      </c>
      <c r="BN76" s="517" t="e">
        <f t="shared" ref="BN76" si="515">BN$3/BM76*1000</f>
        <v>#DIV/0!</v>
      </c>
    </row>
    <row r="77" spans="1:66" x14ac:dyDescent="0.2">
      <c r="C77" s="63"/>
      <c r="D77" s="20"/>
      <c r="E77" s="11">
        <f t="shared" si="455"/>
        <v>0</v>
      </c>
      <c r="F77" s="11">
        <f t="shared" si="472"/>
        <v>0</v>
      </c>
      <c r="H77" s="20"/>
      <c r="L77" s="527"/>
      <c r="N77" s="517"/>
      <c r="P77" s="63"/>
      <c r="Q77" s="20"/>
      <c r="R77" s="11">
        <f t="shared" si="458"/>
        <v>0</v>
      </c>
      <c r="S77" s="11">
        <f t="shared" si="473"/>
        <v>0</v>
      </c>
      <c r="U77" s="21"/>
      <c r="Y77" s="527"/>
      <c r="AA77" s="517"/>
      <c r="AC77" s="63"/>
      <c r="AD77" s="20"/>
      <c r="AE77" s="11">
        <f t="shared" si="461"/>
        <v>0</v>
      </c>
      <c r="AF77" s="11">
        <f t="shared" si="474"/>
        <v>0</v>
      </c>
      <c r="AH77" s="20"/>
      <c r="AN77" s="517"/>
      <c r="AP77" s="63"/>
      <c r="AQ77" s="20"/>
      <c r="AR77" s="11">
        <f t="shared" si="464"/>
        <v>0</v>
      </c>
      <c r="AS77" s="11">
        <f t="shared" si="475"/>
        <v>0</v>
      </c>
      <c r="AU77" s="20"/>
      <c r="AY77" s="527"/>
      <c r="BA77" s="517"/>
      <c r="BC77" s="63"/>
      <c r="BD77" s="20"/>
      <c r="BE77" s="11">
        <f t="shared" si="468"/>
        <v>0</v>
      </c>
      <c r="BF77" s="11">
        <f t="shared" si="476"/>
        <v>0</v>
      </c>
      <c r="BH77" s="20"/>
      <c r="BL77" s="527"/>
      <c r="BN77" s="517"/>
    </row>
    <row r="78" spans="1:66" x14ac:dyDescent="0.2">
      <c r="A78" s="1">
        <f>A76+1</f>
        <v>2045</v>
      </c>
      <c r="B78" s="1">
        <f>B76+1</f>
        <v>36</v>
      </c>
      <c r="C78" s="63"/>
      <c r="D78" s="20">
        <f>1/((1+D$3)^B78)</f>
        <v>0.34503242505668674</v>
      </c>
      <c r="E78" s="11">
        <f t="shared" si="455"/>
        <v>0</v>
      </c>
      <c r="F78" s="11">
        <f t="shared" si="472"/>
        <v>0</v>
      </c>
      <c r="G78" s="12">
        <f>G$6</f>
        <v>0</v>
      </c>
      <c r="H78" s="20">
        <f>IF(H$3=H$4,B78,(1+H$4)*(((1+H$3)^B78-(1+H$4)^B78)/((1+H$3)^B78*(H$3-H$4))))</f>
        <v>30.20961774144342</v>
      </c>
      <c r="J78" s="18">
        <f>G78*H78</f>
        <v>0</v>
      </c>
      <c r="L78" s="527">
        <f t="shared" ref="L78" si="516">L$36</f>
        <v>0</v>
      </c>
      <c r="M78" s="12">
        <f t="shared" ref="M78" si="517">F78+J78+L78</f>
        <v>0</v>
      </c>
      <c r="N78" s="517" t="e">
        <f t="shared" si="479"/>
        <v>#DIV/0!</v>
      </c>
      <c r="O78" s="1">
        <f>O76+1</f>
        <v>36</v>
      </c>
      <c r="P78" s="63"/>
      <c r="Q78" s="20">
        <f>1/((1+Q$3)^O78)</f>
        <v>0.34503242505668674</v>
      </c>
      <c r="R78" s="11">
        <f t="shared" si="458"/>
        <v>0</v>
      </c>
      <c r="S78" s="11">
        <f t="shared" si="473"/>
        <v>0</v>
      </c>
      <c r="T78" s="12">
        <f>T$6</f>
        <v>0</v>
      </c>
      <c r="U78" s="21">
        <f>IF(U$3=U$4,O78,(1+U$4)*(((1+U$3)^O78-(1+U$4)^O78)/((1+U$3)^O78*(U$3-U$4))))</f>
        <v>30.20961774144342</v>
      </c>
      <c r="W78" s="18">
        <f>T78*U78</f>
        <v>0</v>
      </c>
      <c r="Y78" s="527">
        <f t="shared" ref="Y78" si="518">Y$36</f>
        <v>0</v>
      </c>
      <c r="Z78" s="12">
        <f t="shared" ref="Z78" si="519">S78+W78+Y78</f>
        <v>0</v>
      </c>
      <c r="AA78" s="517" t="e">
        <f t="shared" si="482"/>
        <v>#DIV/0!</v>
      </c>
      <c r="AB78" s="1">
        <f>AB76+1</f>
        <v>36</v>
      </c>
      <c r="AC78" s="63"/>
      <c r="AD78" s="20">
        <f>1/((1+AD$3)^AB78)</f>
        <v>0.34503242505668674</v>
      </c>
      <c r="AE78" s="11">
        <f t="shared" si="461"/>
        <v>0</v>
      </c>
      <c r="AF78" s="11">
        <f t="shared" si="474"/>
        <v>0</v>
      </c>
      <c r="AG78" s="12">
        <f>AG$6</f>
        <v>0</v>
      </c>
      <c r="AH78" s="21">
        <f>IF(AH$3=AH$4,AB78,(1+AH$4)*(((1+AH$3)^AB78-(1+AH$4)^AB78)/((1+AH$3)^AB78*(AH$3-AH$4))))</f>
        <v>30.20961774144342</v>
      </c>
      <c r="AJ78" s="18">
        <f>AG78*AH78</f>
        <v>0</v>
      </c>
      <c r="AL78" s="527">
        <f t="shared" ref="AL78" si="520">AL$36</f>
        <v>0</v>
      </c>
      <c r="AM78" s="12">
        <f t="shared" ref="AM78" si="521">AF78+AJ78+AL78</f>
        <v>0</v>
      </c>
      <c r="AN78" s="517" t="e">
        <f t="shared" si="485"/>
        <v>#DIV/0!</v>
      </c>
      <c r="AO78" s="1">
        <f>AO76+1</f>
        <v>36</v>
      </c>
      <c r="AP78" s="63"/>
      <c r="AQ78" s="20">
        <f>1/((1+AQ$3)^AO78)</f>
        <v>0.34503242505668674</v>
      </c>
      <c r="AR78" s="11">
        <f t="shared" si="464"/>
        <v>0</v>
      </c>
      <c r="AS78" s="11">
        <f t="shared" si="475"/>
        <v>0</v>
      </c>
      <c r="AT78" s="12">
        <f>AT$6</f>
        <v>0</v>
      </c>
      <c r="AU78" s="21">
        <f>IF(AU$3=AU$4,AO78,(1+AU$4)*(((1+AU$3)^AO78-(1+AU$4)^AO78)/((1+AU$3)^AO78*(AU$3-AU$4))))</f>
        <v>30.20961774144342</v>
      </c>
      <c r="AW78" s="18">
        <f>AT78*AU78</f>
        <v>0</v>
      </c>
      <c r="AY78" s="527">
        <f t="shared" ref="AY78" si="522">AY$36</f>
        <v>0</v>
      </c>
      <c r="AZ78" s="12">
        <f t="shared" ref="AZ78" si="523">AS78+AW78+AY78</f>
        <v>0</v>
      </c>
      <c r="BA78" s="517" t="e">
        <f t="shared" ref="BA78" si="524">BA$3/AZ78*1000</f>
        <v>#DIV/0!</v>
      </c>
      <c r="BB78" s="1">
        <f>BB76+1</f>
        <v>36</v>
      </c>
      <c r="BC78" s="63"/>
      <c r="BD78" s="20">
        <f>1/((1+BD$3)^BB78)</f>
        <v>0.34503242505668674</v>
      </c>
      <c r="BE78" s="11">
        <f t="shared" si="468"/>
        <v>0</v>
      </c>
      <c r="BF78" s="11">
        <f t="shared" si="476"/>
        <v>0</v>
      </c>
      <c r="BG78" s="12">
        <f>BG$6</f>
        <v>0</v>
      </c>
      <c r="BH78" s="21">
        <f>IF(BH$3=BH$4,BB78,(1+BH$4)*(((1+BH$3)^BB78-(1+BH$4)^BB78)/((1+BH$3)^BB78*(BH$3-BH$4))))</f>
        <v>30.20961774144342</v>
      </c>
      <c r="BJ78" s="18">
        <f>BG78*BH78</f>
        <v>0</v>
      </c>
      <c r="BL78" s="527">
        <f t="shared" ref="BL78" si="525">BL$36</f>
        <v>0</v>
      </c>
      <c r="BM78" s="12">
        <f t="shared" ref="BM78" si="526">BF78+BJ78+BL78</f>
        <v>0</v>
      </c>
      <c r="BN78" s="517" t="e">
        <f t="shared" ref="BN78" si="527">BN$3/BM78*1000</f>
        <v>#DIV/0!</v>
      </c>
    </row>
    <row r="79" spans="1:66" x14ac:dyDescent="0.2">
      <c r="C79" s="63"/>
      <c r="D79" s="20"/>
      <c r="E79" s="11">
        <f t="shared" si="455"/>
        <v>0</v>
      </c>
      <c r="F79" s="11">
        <f t="shared" si="472"/>
        <v>0</v>
      </c>
      <c r="H79" s="20"/>
      <c r="L79" s="527"/>
      <c r="N79" s="517"/>
      <c r="P79" s="63"/>
      <c r="Q79" s="20"/>
      <c r="R79" s="11">
        <f t="shared" si="458"/>
        <v>0</v>
      </c>
      <c r="S79" s="11">
        <f t="shared" si="473"/>
        <v>0</v>
      </c>
      <c r="U79" s="21"/>
      <c r="Y79" s="527"/>
      <c r="AA79" s="517"/>
      <c r="AC79" s="63"/>
      <c r="AD79" s="20"/>
      <c r="AE79" s="11">
        <f t="shared" si="461"/>
        <v>0</v>
      </c>
      <c r="AF79" s="11">
        <f t="shared" si="474"/>
        <v>0</v>
      </c>
      <c r="AH79" s="20"/>
      <c r="AN79" s="517"/>
      <c r="AP79" s="63"/>
      <c r="AQ79" s="20"/>
      <c r="AR79" s="11">
        <f t="shared" si="464"/>
        <v>0</v>
      </c>
      <c r="AS79" s="11">
        <f t="shared" si="475"/>
        <v>0</v>
      </c>
      <c r="AU79" s="20"/>
      <c r="AY79" s="527"/>
      <c r="BA79" s="517"/>
      <c r="BC79" s="63"/>
      <c r="BD79" s="20"/>
      <c r="BE79" s="11">
        <f t="shared" si="468"/>
        <v>0</v>
      </c>
      <c r="BF79" s="11">
        <f t="shared" si="476"/>
        <v>0</v>
      </c>
      <c r="BH79" s="20"/>
      <c r="BL79" s="527"/>
      <c r="BN79" s="517"/>
    </row>
    <row r="80" spans="1:66" x14ac:dyDescent="0.2">
      <c r="A80" s="22">
        <f>A78+1</f>
        <v>2046</v>
      </c>
      <c r="B80" s="1">
        <f>B78+1</f>
        <v>37</v>
      </c>
      <c r="C80" s="63"/>
      <c r="D80" s="20">
        <f>1/((1+D$3)^B80)</f>
        <v>0.33498293694823961</v>
      </c>
      <c r="E80" s="11">
        <f t="shared" si="455"/>
        <v>0</v>
      </c>
      <c r="F80" s="11">
        <f t="shared" si="472"/>
        <v>0</v>
      </c>
      <c r="G80" s="12">
        <f>G$6</f>
        <v>0</v>
      </c>
      <c r="H80" s="20">
        <f>IF(H$3=H$4,B80,(1+H$4)*(((1+H$3)^B80-(1+H$4)^B80)/((1+H$3)^B80*(H$3-H$4))))</f>
        <v>30.906611743953661</v>
      </c>
      <c r="J80" s="18">
        <f>G80*H80</f>
        <v>0</v>
      </c>
      <c r="L80" s="527">
        <f t="shared" ref="L80" si="528">L$36</f>
        <v>0</v>
      </c>
      <c r="M80" s="12">
        <f t="shared" ref="M80" si="529">F80+J80+L80</f>
        <v>0</v>
      </c>
      <c r="N80" s="517" t="e">
        <f t="shared" si="479"/>
        <v>#DIV/0!</v>
      </c>
      <c r="O80" s="1">
        <f>O78+1</f>
        <v>37</v>
      </c>
      <c r="P80" s="63"/>
      <c r="Q80" s="20">
        <f>1/((1+Q$3)^O80)</f>
        <v>0.33498293694823961</v>
      </c>
      <c r="R80" s="11">
        <f t="shared" si="458"/>
        <v>0</v>
      </c>
      <c r="S80" s="11">
        <f t="shared" si="473"/>
        <v>0</v>
      </c>
      <c r="T80" s="12">
        <f>T$6</f>
        <v>0</v>
      </c>
      <c r="U80" s="21">
        <f>IF(U$3=U$4,O80,(1+U$4)*(((1+U$3)^O80-(1+U$4)^O80)/((1+U$3)^O80*(U$3-U$4))))</f>
        <v>30.906611743953661</v>
      </c>
      <c r="W80" s="18">
        <f>T80*U80</f>
        <v>0</v>
      </c>
      <c r="Y80" s="527">
        <f t="shared" ref="Y80" si="530">Y$36</f>
        <v>0</v>
      </c>
      <c r="Z80" s="12">
        <f t="shared" ref="Z80" si="531">S80+W80+Y80</f>
        <v>0</v>
      </c>
      <c r="AA80" s="517" t="e">
        <f t="shared" si="482"/>
        <v>#DIV/0!</v>
      </c>
      <c r="AB80" s="1">
        <f>AB78+1</f>
        <v>37</v>
      </c>
      <c r="AC80" s="63"/>
      <c r="AD80" s="20">
        <f>1/((1+AD$3)^AB80)</f>
        <v>0.33498293694823961</v>
      </c>
      <c r="AE80" s="11">
        <f t="shared" si="461"/>
        <v>0</v>
      </c>
      <c r="AF80" s="11">
        <f t="shared" si="474"/>
        <v>0</v>
      </c>
      <c r="AG80" s="12">
        <f>AG$6</f>
        <v>0</v>
      </c>
      <c r="AH80" s="21">
        <f>IF(AH$3=AH$4,AB80,(1+AH$4)*(((1+AH$3)^AB80-(1+AH$4)^AB80)/((1+AH$3)^AB80*(AH$3-AH$4))))</f>
        <v>30.906611743953661</v>
      </c>
      <c r="AJ80" s="18">
        <f>AG80*AH80</f>
        <v>0</v>
      </c>
      <c r="AL80" s="527">
        <f t="shared" ref="AL80" si="532">AL$36</f>
        <v>0</v>
      </c>
      <c r="AM80" s="12">
        <f t="shared" ref="AM80" si="533">AF80+AJ80+AL80</f>
        <v>0</v>
      </c>
      <c r="AN80" s="517" t="e">
        <f t="shared" si="485"/>
        <v>#DIV/0!</v>
      </c>
      <c r="AO80" s="1">
        <f>AO78+1</f>
        <v>37</v>
      </c>
      <c r="AP80" s="63"/>
      <c r="AQ80" s="20">
        <f>1/((1+AQ$3)^AO80)</f>
        <v>0.33498293694823961</v>
      </c>
      <c r="AR80" s="11">
        <f t="shared" si="464"/>
        <v>0</v>
      </c>
      <c r="AS80" s="11">
        <f t="shared" si="475"/>
        <v>0</v>
      </c>
      <c r="AT80" s="12">
        <f>AT$6</f>
        <v>0</v>
      </c>
      <c r="AU80" s="21">
        <f>IF(AU$3=AU$4,AO80,(1+AU$4)*(((1+AU$3)^AO80-(1+AU$4)^AO80)/((1+AU$3)^AO80*(AU$3-AU$4))))</f>
        <v>30.906611743953661</v>
      </c>
      <c r="AW80" s="18">
        <f>AT80*AU80</f>
        <v>0</v>
      </c>
      <c r="AY80" s="527">
        <f t="shared" ref="AY80" si="534">AY$36</f>
        <v>0</v>
      </c>
      <c r="AZ80" s="12">
        <f t="shared" ref="AZ80" si="535">AS80+AW80+AY80</f>
        <v>0</v>
      </c>
      <c r="BA80" s="517" t="e">
        <f t="shared" ref="BA80" si="536">BA$3/AZ80*1000</f>
        <v>#DIV/0!</v>
      </c>
      <c r="BB80" s="1">
        <f>BB78+1</f>
        <v>37</v>
      </c>
      <c r="BC80" s="63"/>
      <c r="BD80" s="20">
        <f>1/((1+BD$3)^BB80)</f>
        <v>0.33498293694823961</v>
      </c>
      <c r="BE80" s="11">
        <f t="shared" si="468"/>
        <v>0</v>
      </c>
      <c r="BF80" s="11">
        <f t="shared" si="476"/>
        <v>0</v>
      </c>
      <c r="BG80" s="12">
        <f>BG$6</f>
        <v>0</v>
      </c>
      <c r="BH80" s="21">
        <f>IF(BH$3=BH$4,BB80,(1+BH$4)*(((1+BH$3)^BB80-(1+BH$4)^BB80)/((1+BH$3)^BB80*(BH$3-BH$4))))</f>
        <v>30.906611743953661</v>
      </c>
      <c r="BJ80" s="18">
        <f>BG80*BH80</f>
        <v>0</v>
      </c>
      <c r="BL80" s="527">
        <f t="shared" ref="BL80" si="537">BL$36</f>
        <v>0</v>
      </c>
      <c r="BM80" s="12">
        <f t="shared" ref="BM80" si="538">BF80+BJ80+BL80</f>
        <v>0</v>
      </c>
      <c r="BN80" s="517" t="e">
        <f t="shared" ref="BN80" si="539">BN$3/BM80*1000</f>
        <v>#DIV/0!</v>
      </c>
    </row>
    <row r="81" spans="1:66" x14ac:dyDescent="0.2">
      <c r="A81" s="22"/>
      <c r="B81" s="1">
        <v>37.5</v>
      </c>
      <c r="C81" s="63">
        <f>SUM('Kosten Variante1'!P68:Q68)</f>
        <v>0</v>
      </c>
      <c r="D81" s="20">
        <f>1/((1+D$3)^B81)</f>
        <v>0.33006849546056333</v>
      </c>
      <c r="E81" s="11">
        <f t="shared" si="455"/>
        <v>0</v>
      </c>
      <c r="F81" s="11">
        <f t="shared" si="472"/>
        <v>0</v>
      </c>
      <c r="H81" s="20"/>
      <c r="L81" s="527"/>
      <c r="N81" s="517"/>
      <c r="O81" s="1">
        <v>37.5</v>
      </c>
      <c r="P81" s="63">
        <f>SUM('Kosten Variante2'!P68:Q68)</f>
        <v>0</v>
      </c>
      <c r="Q81" s="20">
        <f>1/((1+Q$3)^O81)</f>
        <v>0.33006849546056333</v>
      </c>
      <c r="R81" s="11">
        <f t="shared" si="458"/>
        <v>0</v>
      </c>
      <c r="S81" s="11">
        <f t="shared" si="473"/>
        <v>0</v>
      </c>
      <c r="U81" s="21"/>
      <c r="Y81" s="527"/>
      <c r="AA81" s="517"/>
      <c r="AB81" s="1">
        <v>37.5</v>
      </c>
      <c r="AC81" s="63">
        <f>SUM('Kosten Variante3'!P68:Q68)</f>
        <v>0</v>
      </c>
      <c r="AD81" s="20">
        <f>1/((1+AD$3)^AB81)</f>
        <v>0.33006849546056333</v>
      </c>
      <c r="AE81" s="11">
        <f t="shared" si="461"/>
        <v>0</v>
      </c>
      <c r="AF81" s="11">
        <f t="shared" si="474"/>
        <v>0</v>
      </c>
      <c r="AH81" s="20"/>
      <c r="AN81" s="517"/>
      <c r="AO81" s="1">
        <v>37.5</v>
      </c>
      <c r="AP81" s="63">
        <f>SUM('Kosten Variante4'!P68:Q68)</f>
        <v>0</v>
      </c>
      <c r="AQ81" s="20">
        <f>1/((1+AQ$3)^AO81)</f>
        <v>0.33006849546056333</v>
      </c>
      <c r="AR81" s="11">
        <f t="shared" si="464"/>
        <v>0</v>
      </c>
      <c r="AS81" s="11">
        <f t="shared" si="475"/>
        <v>0</v>
      </c>
      <c r="AU81" s="20"/>
      <c r="AY81" s="527"/>
      <c r="BA81" s="517"/>
      <c r="BB81" s="1">
        <v>37.5</v>
      </c>
      <c r="BC81" s="63">
        <f>SUM('Kosten Variante5'!P68:Q68)</f>
        <v>0</v>
      </c>
      <c r="BD81" s="20">
        <f>1/((1+BD$3)^BB81)</f>
        <v>0.33006849546056333</v>
      </c>
      <c r="BE81" s="11">
        <f t="shared" si="468"/>
        <v>0</v>
      </c>
      <c r="BF81" s="11">
        <f t="shared" si="476"/>
        <v>0</v>
      </c>
      <c r="BH81" s="20"/>
      <c r="BL81" s="527"/>
      <c r="BN81" s="517"/>
    </row>
    <row r="82" spans="1:66" x14ac:dyDescent="0.2">
      <c r="A82" s="22">
        <f>A80+1</f>
        <v>2047</v>
      </c>
      <c r="B82" s="1">
        <f>B80+1</f>
        <v>38</v>
      </c>
      <c r="C82" s="63"/>
      <c r="D82" s="20">
        <f>1/((1+D$3)^B82)</f>
        <v>0.3252261523769317</v>
      </c>
      <c r="E82" s="11">
        <f t="shared" si="455"/>
        <v>0</v>
      </c>
      <c r="F82" s="11">
        <f t="shared" si="472"/>
        <v>0</v>
      </c>
      <c r="G82" s="12">
        <f>G$6</f>
        <v>0</v>
      </c>
      <c r="H82" s="20">
        <f>IF(H$3=H$4,B82,(1+H$4)*(((1+H$3)^B82-(1+H$4)^B82)/((1+H$3)^B82*(H$3-H$4))))</f>
        <v>31.596838814400709</v>
      </c>
      <c r="J82" s="18">
        <f>G82*H82</f>
        <v>0</v>
      </c>
      <c r="L82" s="527">
        <f t="shared" ref="L82" si="540">L$36</f>
        <v>0</v>
      </c>
      <c r="M82" s="12">
        <f t="shared" ref="M82" si="541">F82+J82+L82</f>
        <v>0</v>
      </c>
      <c r="N82" s="517" t="e">
        <f t="shared" si="479"/>
        <v>#DIV/0!</v>
      </c>
      <c r="O82" s="1">
        <f>O80+1</f>
        <v>38</v>
      </c>
      <c r="P82" s="63"/>
      <c r="Q82" s="20">
        <f>1/((1+Q$3)^O82)</f>
        <v>0.3252261523769317</v>
      </c>
      <c r="R82" s="11">
        <f t="shared" si="458"/>
        <v>0</v>
      </c>
      <c r="S82" s="11">
        <f t="shared" si="473"/>
        <v>0</v>
      </c>
      <c r="T82" s="12">
        <f>T$6</f>
        <v>0</v>
      </c>
      <c r="U82" s="21">
        <f>IF(U$3=U$4,O82,(1+U$4)*(((1+U$3)^O82-(1+U$4)^O82)/((1+U$3)^O82*(U$3-U$4))))</f>
        <v>31.596838814400709</v>
      </c>
      <c r="W82" s="18">
        <f>T82*U82</f>
        <v>0</v>
      </c>
      <c r="Y82" s="527">
        <f t="shared" ref="Y82" si="542">Y$36</f>
        <v>0</v>
      </c>
      <c r="Z82" s="12">
        <f t="shared" ref="Z82" si="543">S82+W82+Y82</f>
        <v>0</v>
      </c>
      <c r="AA82" s="517" t="e">
        <f t="shared" si="482"/>
        <v>#DIV/0!</v>
      </c>
      <c r="AB82" s="1">
        <f>AB80+1</f>
        <v>38</v>
      </c>
      <c r="AC82" s="63"/>
      <c r="AD82" s="20">
        <f>1/((1+AD$3)^AB82)</f>
        <v>0.3252261523769317</v>
      </c>
      <c r="AE82" s="11">
        <f t="shared" si="461"/>
        <v>0</v>
      </c>
      <c r="AF82" s="11">
        <f t="shared" si="474"/>
        <v>0</v>
      </c>
      <c r="AG82" s="12">
        <f>AG$6</f>
        <v>0</v>
      </c>
      <c r="AH82" s="21">
        <f>IF(AH$3=AH$4,AB82,(1+AH$4)*(((1+AH$3)^AB82-(1+AH$4)^AB82)/((1+AH$3)^AB82*(AH$3-AH$4))))</f>
        <v>31.596838814400709</v>
      </c>
      <c r="AJ82" s="18">
        <f>AG82*AH82</f>
        <v>0</v>
      </c>
      <c r="AL82" s="527">
        <f t="shared" ref="AL82" si="544">AL$36</f>
        <v>0</v>
      </c>
      <c r="AM82" s="12">
        <f t="shared" ref="AM82" si="545">AF82+AJ82+AL82</f>
        <v>0</v>
      </c>
      <c r="AN82" s="517" t="e">
        <f t="shared" si="485"/>
        <v>#DIV/0!</v>
      </c>
      <c r="AO82" s="1">
        <f>AO80+1</f>
        <v>38</v>
      </c>
      <c r="AP82" s="63"/>
      <c r="AQ82" s="20">
        <f>1/((1+AQ$3)^AO82)</f>
        <v>0.3252261523769317</v>
      </c>
      <c r="AR82" s="11">
        <f t="shared" si="464"/>
        <v>0</v>
      </c>
      <c r="AS82" s="11">
        <f t="shared" si="475"/>
        <v>0</v>
      </c>
      <c r="AT82" s="12">
        <f>AT$6</f>
        <v>0</v>
      </c>
      <c r="AU82" s="21">
        <f>IF(AU$3=AU$4,AO82,(1+AU$4)*(((1+AU$3)^AO82-(1+AU$4)^AO82)/((1+AU$3)^AO82*(AU$3-AU$4))))</f>
        <v>31.596838814400709</v>
      </c>
      <c r="AW82" s="18">
        <f>AT82*AU82</f>
        <v>0</v>
      </c>
      <c r="AY82" s="527">
        <f t="shared" ref="AY82" si="546">AY$36</f>
        <v>0</v>
      </c>
      <c r="AZ82" s="12">
        <f t="shared" ref="AZ82" si="547">AS82+AW82+AY82</f>
        <v>0</v>
      </c>
      <c r="BA82" s="517" t="e">
        <f t="shared" ref="BA82" si="548">BA$3/AZ82*1000</f>
        <v>#DIV/0!</v>
      </c>
      <c r="BB82" s="1">
        <f>BB80+1</f>
        <v>38</v>
      </c>
      <c r="BC82" s="63"/>
      <c r="BD82" s="20">
        <f>1/((1+BD$3)^BB82)</f>
        <v>0.3252261523769317</v>
      </c>
      <c r="BE82" s="11">
        <f t="shared" si="468"/>
        <v>0</v>
      </c>
      <c r="BF82" s="11">
        <f t="shared" si="476"/>
        <v>0</v>
      </c>
      <c r="BG82" s="12">
        <f>BG$6</f>
        <v>0</v>
      </c>
      <c r="BH82" s="21">
        <f>IF(BH$3=BH$4,BB82,(1+BH$4)*(((1+BH$3)^BB82-(1+BH$4)^BB82)/((1+BH$3)^BB82*(BH$3-BH$4))))</f>
        <v>31.596838814400709</v>
      </c>
      <c r="BJ82" s="18">
        <f>BG82*BH82</f>
        <v>0</v>
      </c>
      <c r="BL82" s="527">
        <f t="shared" ref="BL82" si="549">BL$36</f>
        <v>0</v>
      </c>
      <c r="BM82" s="12">
        <f t="shared" ref="BM82" si="550">BF82+BJ82+BL82</f>
        <v>0</v>
      </c>
      <c r="BN82" s="517" t="e">
        <f t="shared" ref="BN82" si="551">BN$3/BM82*1000</f>
        <v>#DIV/0!</v>
      </c>
    </row>
    <row r="83" spans="1:66" x14ac:dyDescent="0.2">
      <c r="A83" s="22"/>
      <c r="C83" s="63"/>
      <c r="D83" s="20"/>
      <c r="E83" s="11">
        <f t="shared" si="455"/>
        <v>0</v>
      </c>
      <c r="F83" s="11">
        <f t="shared" si="472"/>
        <v>0</v>
      </c>
      <c r="H83" s="20"/>
      <c r="L83" s="527"/>
      <c r="N83" s="517"/>
      <c r="P83" s="63"/>
      <c r="Q83" s="20"/>
      <c r="R83" s="11">
        <f t="shared" si="458"/>
        <v>0</v>
      </c>
      <c r="S83" s="11">
        <f t="shared" si="473"/>
        <v>0</v>
      </c>
      <c r="U83" s="21"/>
      <c r="Y83" s="527"/>
      <c r="AA83" s="517"/>
      <c r="AC83" s="63"/>
      <c r="AD83" s="20"/>
      <c r="AE83" s="11">
        <f t="shared" si="461"/>
        <v>0</v>
      </c>
      <c r="AF83" s="11">
        <f t="shared" si="474"/>
        <v>0</v>
      </c>
      <c r="AH83" s="20"/>
      <c r="AN83" s="517"/>
      <c r="AP83" s="63"/>
      <c r="AQ83" s="20"/>
      <c r="AR83" s="11">
        <f t="shared" si="464"/>
        <v>0</v>
      </c>
      <c r="AS83" s="11">
        <f t="shared" si="475"/>
        <v>0</v>
      </c>
      <c r="AU83" s="20"/>
      <c r="AY83" s="527"/>
      <c r="BA83" s="517"/>
      <c r="BC83" s="63"/>
      <c r="BD83" s="20"/>
      <c r="BE83" s="11">
        <f t="shared" si="468"/>
        <v>0</v>
      </c>
      <c r="BF83" s="11">
        <f t="shared" si="476"/>
        <v>0</v>
      </c>
      <c r="BH83" s="20"/>
      <c r="BL83" s="527"/>
      <c r="BN83" s="517"/>
    </row>
    <row r="84" spans="1:66" x14ac:dyDescent="0.2">
      <c r="A84" s="1">
        <f>A82+1</f>
        <v>2048</v>
      </c>
      <c r="B84" s="1">
        <f>B82+1</f>
        <v>39</v>
      </c>
      <c r="C84" s="63"/>
      <c r="D84" s="20">
        <f>1/((1+D$3)^B84)</f>
        <v>0.31575354599702099</v>
      </c>
      <c r="E84" s="11">
        <f t="shared" si="455"/>
        <v>0</v>
      </c>
      <c r="F84" s="11">
        <f t="shared" si="472"/>
        <v>0</v>
      </c>
      <c r="G84" s="12">
        <f>G$6</f>
        <v>0</v>
      </c>
      <c r="H84" s="20">
        <f>IF(H$3=H$4,B84,(1+H$4)*(((1+H$3)^B84-(1+H$4)^B84)/((1+H$3)^B84*(H$3-H$4))))</f>
        <v>32.280364651154137</v>
      </c>
      <c r="J84" s="18">
        <f>G84*H84</f>
        <v>0</v>
      </c>
      <c r="L84" s="527">
        <f t="shared" ref="L84" si="552">L$36</f>
        <v>0</v>
      </c>
      <c r="M84" s="12">
        <f t="shared" ref="M84" si="553">F84+J84+L84</f>
        <v>0</v>
      </c>
      <c r="N84" s="517" t="e">
        <f t="shared" si="479"/>
        <v>#DIV/0!</v>
      </c>
      <c r="O84" s="1">
        <f>O82+1</f>
        <v>39</v>
      </c>
      <c r="P84" s="63"/>
      <c r="Q84" s="20">
        <f>1/((1+Q$3)^O84)</f>
        <v>0.31575354599702099</v>
      </c>
      <c r="R84" s="11">
        <f t="shared" si="458"/>
        <v>0</v>
      </c>
      <c r="S84" s="11">
        <f t="shared" si="473"/>
        <v>0</v>
      </c>
      <c r="T84" s="12">
        <f>T$6</f>
        <v>0</v>
      </c>
      <c r="U84" s="21">
        <f>IF(U$3=U$4,O84,(1+U$4)*(((1+U$3)^O84-(1+U$4)^O84)/((1+U$3)^O84*(U$3-U$4))))</f>
        <v>32.280364651154137</v>
      </c>
      <c r="W84" s="18">
        <f>T84*U84</f>
        <v>0</v>
      </c>
      <c r="Y84" s="527">
        <f t="shared" ref="Y84" si="554">Y$36</f>
        <v>0</v>
      </c>
      <c r="Z84" s="12">
        <f t="shared" ref="Z84" si="555">S84+W84+Y84</f>
        <v>0</v>
      </c>
      <c r="AA84" s="517" t="e">
        <f t="shared" si="482"/>
        <v>#DIV/0!</v>
      </c>
      <c r="AB84" s="1">
        <f>AB82+1</f>
        <v>39</v>
      </c>
      <c r="AC84" s="63"/>
      <c r="AD84" s="20">
        <f>1/((1+AD$3)^AB84)</f>
        <v>0.31575354599702099</v>
      </c>
      <c r="AE84" s="11">
        <f t="shared" si="461"/>
        <v>0</v>
      </c>
      <c r="AF84" s="11">
        <f t="shared" si="474"/>
        <v>0</v>
      </c>
      <c r="AG84" s="12">
        <f>AG$6</f>
        <v>0</v>
      </c>
      <c r="AH84" s="21">
        <f>IF(AH$3=AH$4,AB84,(1+AH$4)*(((1+AH$3)^AB84-(1+AH$4)^AB84)/((1+AH$3)^AB84*(AH$3-AH$4))))</f>
        <v>32.280364651154137</v>
      </c>
      <c r="AJ84" s="18">
        <f>AG84*AH84</f>
        <v>0</v>
      </c>
      <c r="AL84" s="527">
        <f t="shared" ref="AL84" si="556">AL$36</f>
        <v>0</v>
      </c>
      <c r="AM84" s="12">
        <f t="shared" ref="AM84" si="557">AF84+AJ84+AL84</f>
        <v>0</v>
      </c>
      <c r="AN84" s="517" t="e">
        <f t="shared" si="485"/>
        <v>#DIV/0!</v>
      </c>
      <c r="AO84" s="1">
        <f>AO82+1</f>
        <v>39</v>
      </c>
      <c r="AP84" s="63"/>
      <c r="AQ84" s="20">
        <f>1/((1+AQ$3)^AO84)</f>
        <v>0.31575354599702099</v>
      </c>
      <c r="AR84" s="11">
        <f t="shared" si="464"/>
        <v>0</v>
      </c>
      <c r="AS84" s="11">
        <f t="shared" si="475"/>
        <v>0</v>
      </c>
      <c r="AT84" s="12">
        <f>AT$6</f>
        <v>0</v>
      </c>
      <c r="AU84" s="21">
        <f>IF(AU$3=AU$4,AO84,(1+AU$4)*(((1+AU$3)^AO84-(1+AU$4)^AO84)/((1+AU$3)^AO84*(AU$3-AU$4))))</f>
        <v>32.280364651154137</v>
      </c>
      <c r="AW84" s="18">
        <f>AT84*AU84</f>
        <v>0</v>
      </c>
      <c r="AY84" s="527">
        <f t="shared" ref="AY84" si="558">AY$36</f>
        <v>0</v>
      </c>
      <c r="AZ84" s="12">
        <f t="shared" ref="AZ84" si="559">AS84+AW84+AY84</f>
        <v>0</v>
      </c>
      <c r="BA84" s="517" t="e">
        <f t="shared" ref="BA84" si="560">BA$3/AZ84*1000</f>
        <v>#DIV/0!</v>
      </c>
      <c r="BB84" s="1">
        <f>BB82+1</f>
        <v>39</v>
      </c>
      <c r="BC84" s="63"/>
      <c r="BD84" s="20">
        <f>1/((1+BD$3)^BB84)</f>
        <v>0.31575354599702099</v>
      </c>
      <c r="BE84" s="11">
        <f t="shared" si="468"/>
        <v>0</v>
      </c>
      <c r="BF84" s="11">
        <f t="shared" si="476"/>
        <v>0</v>
      </c>
      <c r="BG84" s="12">
        <f>BG$6</f>
        <v>0</v>
      </c>
      <c r="BH84" s="21">
        <f>IF(BH$3=BH$4,BB84,(1+BH$4)*(((1+BH$3)^BB84-(1+BH$4)^BB84)/((1+BH$3)^BB84*(BH$3-BH$4))))</f>
        <v>32.280364651154137</v>
      </c>
      <c r="BJ84" s="18">
        <f>BG84*BH84</f>
        <v>0</v>
      </c>
      <c r="BL84" s="527">
        <f t="shared" ref="BL84" si="561">BL$36</f>
        <v>0</v>
      </c>
      <c r="BM84" s="12">
        <f t="shared" ref="BM84" si="562">BF84+BJ84+BL84</f>
        <v>0</v>
      </c>
      <c r="BN84" s="517" t="e">
        <f t="shared" ref="BN84" si="563">BN$3/BM84*1000</f>
        <v>#DIV/0!</v>
      </c>
    </row>
    <row r="85" spans="1:66" x14ac:dyDescent="0.2">
      <c r="C85" s="63"/>
      <c r="D85" s="20"/>
      <c r="E85" s="11">
        <f t="shared" si="455"/>
        <v>0</v>
      </c>
      <c r="F85" s="11">
        <f t="shared" si="472"/>
        <v>0</v>
      </c>
      <c r="H85" s="20"/>
      <c r="L85" s="527"/>
      <c r="N85" s="517"/>
      <c r="P85" s="63"/>
      <c r="Q85" s="20"/>
      <c r="R85" s="11">
        <f t="shared" si="458"/>
        <v>0</v>
      </c>
      <c r="S85" s="11">
        <f t="shared" si="473"/>
        <v>0</v>
      </c>
      <c r="U85" s="21"/>
      <c r="Y85" s="527"/>
      <c r="AA85" s="517"/>
      <c r="AC85" s="63"/>
      <c r="AD85" s="20"/>
      <c r="AE85" s="11">
        <f t="shared" si="461"/>
        <v>0</v>
      </c>
      <c r="AF85" s="11">
        <f t="shared" si="474"/>
        <v>0</v>
      </c>
      <c r="AH85" s="20"/>
      <c r="AN85" s="517"/>
      <c r="AP85" s="63"/>
      <c r="AQ85" s="20"/>
      <c r="AR85" s="11">
        <f t="shared" si="464"/>
        <v>0</v>
      </c>
      <c r="AS85" s="11">
        <f t="shared" si="475"/>
        <v>0</v>
      </c>
      <c r="AU85" s="20"/>
      <c r="AY85" s="527"/>
      <c r="BA85" s="517"/>
      <c r="BC85" s="63"/>
      <c r="BD85" s="20"/>
      <c r="BE85" s="11">
        <f t="shared" si="468"/>
        <v>0</v>
      </c>
      <c r="BF85" s="11">
        <f t="shared" si="476"/>
        <v>0</v>
      </c>
      <c r="BH85" s="20"/>
      <c r="BL85" s="527"/>
      <c r="BN85" s="517"/>
    </row>
    <row r="86" spans="1:66" x14ac:dyDescent="0.2">
      <c r="A86" s="1">
        <f>A84+1</f>
        <v>2049</v>
      </c>
      <c r="B86" s="1">
        <f>B84+1</f>
        <v>40</v>
      </c>
      <c r="C86" s="63"/>
      <c r="D86" s="20">
        <f>1/((1+D$3)^B86)</f>
        <v>0.30655684077380685</v>
      </c>
      <c r="E86" s="11">
        <f t="shared" si="455"/>
        <v>0</v>
      </c>
      <c r="F86" s="11">
        <f t="shared" si="472"/>
        <v>0</v>
      </c>
      <c r="G86" s="12">
        <f>G$6</f>
        <v>0</v>
      </c>
      <c r="H86" s="20">
        <f>IF(H$3=H$4,B86,(1+H$4)*(((1+H$3)^B86-(1+H$4)^B86)/((1+H$3)^B86*(H$3-H$4))))</f>
        <v>32.957254314735124</v>
      </c>
      <c r="J86" s="18">
        <f>G86*H86</f>
        <v>0</v>
      </c>
      <c r="L86" s="527">
        <f t="shared" ref="L86" si="564">L$36</f>
        <v>0</v>
      </c>
      <c r="M86" s="12">
        <f t="shared" ref="M86" si="565">F86+J86+L86</f>
        <v>0</v>
      </c>
      <c r="N86" s="517" t="e">
        <f t="shared" si="479"/>
        <v>#DIV/0!</v>
      </c>
      <c r="O86" s="1">
        <f>O84+1</f>
        <v>40</v>
      </c>
      <c r="P86" s="63"/>
      <c r="Q86" s="20">
        <f>1/((1+Q$3)^O86)</f>
        <v>0.30655684077380685</v>
      </c>
      <c r="R86" s="11">
        <f t="shared" si="458"/>
        <v>0</v>
      </c>
      <c r="S86" s="11">
        <f t="shared" si="473"/>
        <v>0</v>
      </c>
      <c r="T86" s="12">
        <f>T$6</f>
        <v>0</v>
      </c>
      <c r="U86" s="21">
        <f>IF(U$3=U$4,O86,(1+U$4)*(((1+U$3)^O86-(1+U$4)^O86)/((1+U$3)^O86*(U$3-U$4))))</f>
        <v>32.957254314735124</v>
      </c>
      <c r="W86" s="18">
        <f>T86*U86</f>
        <v>0</v>
      </c>
      <c r="Y86" s="527">
        <f t="shared" ref="Y86" si="566">Y$36</f>
        <v>0</v>
      </c>
      <c r="Z86" s="12">
        <f t="shared" ref="Z86" si="567">S86+W86+Y86</f>
        <v>0</v>
      </c>
      <c r="AA86" s="517" t="e">
        <f t="shared" si="482"/>
        <v>#DIV/0!</v>
      </c>
      <c r="AB86" s="1">
        <f>AB84+1</f>
        <v>40</v>
      </c>
      <c r="AC86" s="63"/>
      <c r="AD86" s="20">
        <f>1/((1+AD$3)^AB86)</f>
        <v>0.30655684077380685</v>
      </c>
      <c r="AE86" s="11">
        <f t="shared" si="461"/>
        <v>0</v>
      </c>
      <c r="AF86" s="11">
        <f t="shared" si="474"/>
        <v>0</v>
      </c>
      <c r="AG86" s="12">
        <f>AG$6</f>
        <v>0</v>
      </c>
      <c r="AH86" s="21">
        <f>IF(AH$3=AH$4,AB86,(1+AH$4)*(((1+AH$3)^AB86-(1+AH$4)^AB86)/((1+AH$3)^AB86*(AH$3-AH$4))))</f>
        <v>32.957254314735124</v>
      </c>
      <c r="AJ86" s="18">
        <f>AG86*AH86</f>
        <v>0</v>
      </c>
      <c r="AL86" s="527">
        <f t="shared" ref="AL86" si="568">AL$36</f>
        <v>0</v>
      </c>
      <c r="AM86" s="12">
        <f t="shared" ref="AM86" si="569">AF86+AJ86+AL86</f>
        <v>0</v>
      </c>
      <c r="AN86" s="517" t="e">
        <f t="shared" si="485"/>
        <v>#DIV/0!</v>
      </c>
      <c r="AO86" s="1">
        <f>AO84+1</f>
        <v>40</v>
      </c>
      <c r="AP86" s="63"/>
      <c r="AQ86" s="20">
        <f>1/((1+AQ$3)^AO86)</f>
        <v>0.30655684077380685</v>
      </c>
      <c r="AR86" s="11">
        <f t="shared" si="464"/>
        <v>0</v>
      </c>
      <c r="AS86" s="11">
        <f t="shared" si="475"/>
        <v>0</v>
      </c>
      <c r="AT86" s="12">
        <f>AT$6</f>
        <v>0</v>
      </c>
      <c r="AU86" s="21">
        <f>IF(AU$3=AU$4,AO86,(1+AU$4)*(((1+AU$3)^AO86-(1+AU$4)^AO86)/((1+AU$3)^AO86*(AU$3-AU$4))))</f>
        <v>32.957254314735124</v>
      </c>
      <c r="AW86" s="18">
        <f>AT86*AU86</f>
        <v>0</v>
      </c>
      <c r="AY86" s="527">
        <f t="shared" ref="AY86" si="570">AY$36</f>
        <v>0</v>
      </c>
      <c r="AZ86" s="12">
        <f t="shared" ref="AZ86" si="571">AS86+AW86+AY86</f>
        <v>0</v>
      </c>
      <c r="BA86" s="517" t="e">
        <f t="shared" ref="BA86" si="572">BA$3/AZ86*1000</f>
        <v>#DIV/0!</v>
      </c>
      <c r="BB86" s="1">
        <f>BB84+1</f>
        <v>40</v>
      </c>
      <c r="BC86" s="63"/>
      <c r="BD86" s="20">
        <f>1/((1+BD$3)^BB86)</f>
        <v>0.30655684077380685</v>
      </c>
      <c r="BE86" s="11">
        <f t="shared" si="468"/>
        <v>0</v>
      </c>
      <c r="BF86" s="11">
        <f t="shared" si="476"/>
        <v>0</v>
      </c>
      <c r="BG86" s="12">
        <f>BG$6</f>
        <v>0</v>
      </c>
      <c r="BH86" s="21">
        <f>IF(BH$3=BH$4,BB86,(1+BH$4)*(((1+BH$3)^BB86-(1+BH$4)^BB86)/((1+BH$3)^BB86*(BH$3-BH$4))))</f>
        <v>32.957254314735124</v>
      </c>
      <c r="BJ86" s="18">
        <f>BG86*BH86</f>
        <v>0</v>
      </c>
      <c r="BL86" s="527">
        <f t="shared" ref="BL86" si="573">BL$36</f>
        <v>0</v>
      </c>
      <c r="BM86" s="12">
        <f t="shared" ref="BM86" si="574">BF86+BJ86+BL86</f>
        <v>0</v>
      </c>
      <c r="BN86" s="517" t="e">
        <f t="shared" ref="BN86" si="575">BN$3/BM86*1000</f>
        <v>#DIV/0!</v>
      </c>
    </row>
    <row r="87" spans="1:66" x14ac:dyDescent="0.2">
      <c r="C87" s="63"/>
      <c r="D87" s="20"/>
      <c r="E87" s="11">
        <f t="shared" si="455"/>
        <v>0</v>
      </c>
      <c r="F87" s="11">
        <f t="shared" si="472"/>
        <v>0</v>
      </c>
      <c r="H87" s="20"/>
      <c r="L87" s="527"/>
      <c r="N87" s="517"/>
      <c r="P87" s="63"/>
      <c r="Q87" s="20"/>
      <c r="R87" s="11">
        <f t="shared" si="458"/>
        <v>0</v>
      </c>
      <c r="S87" s="11">
        <f t="shared" si="473"/>
        <v>0</v>
      </c>
      <c r="U87" s="21"/>
      <c r="Y87" s="527"/>
      <c r="AA87" s="517"/>
      <c r="AC87" s="63"/>
      <c r="AD87" s="20"/>
      <c r="AE87" s="11">
        <f t="shared" si="461"/>
        <v>0</v>
      </c>
      <c r="AF87" s="11">
        <f t="shared" si="474"/>
        <v>0</v>
      </c>
      <c r="AH87" s="20"/>
      <c r="AN87" s="517"/>
      <c r="AP87" s="63"/>
      <c r="AQ87" s="20"/>
      <c r="AR87" s="11">
        <f t="shared" si="464"/>
        <v>0</v>
      </c>
      <c r="AS87" s="11">
        <f t="shared" si="475"/>
        <v>0</v>
      </c>
      <c r="AU87" s="20"/>
      <c r="AY87" s="527"/>
      <c r="BA87" s="517"/>
      <c r="BC87" s="63"/>
      <c r="BD87" s="20"/>
      <c r="BE87" s="11">
        <f t="shared" si="468"/>
        <v>0</v>
      </c>
      <c r="BF87" s="11">
        <f t="shared" si="476"/>
        <v>0</v>
      </c>
      <c r="BH87" s="20"/>
      <c r="BL87" s="527"/>
      <c r="BN87" s="517"/>
    </row>
    <row r="88" spans="1:66" x14ac:dyDescent="0.2">
      <c r="A88" s="1">
        <f>A86+1</f>
        <v>2050</v>
      </c>
      <c r="B88" s="1">
        <f>B86+1</f>
        <v>41</v>
      </c>
      <c r="C88" s="63"/>
      <c r="D88" s="20">
        <f>1/((1+D$3)^B88)</f>
        <v>0.29762800075126877</v>
      </c>
      <c r="E88" s="11">
        <f t="shared" si="455"/>
        <v>0</v>
      </c>
      <c r="F88" s="11">
        <f t="shared" si="472"/>
        <v>0</v>
      </c>
      <c r="G88" s="12">
        <f>G$6</f>
        <v>0</v>
      </c>
      <c r="H88" s="20">
        <f>IF(H$3=H$4,B88,(1+H$4)*(((1+H$3)^B88-(1+H$4)^B88)/((1+H$3)^B88*(H$3-H$4))))</f>
        <v>33.627572234009556</v>
      </c>
      <c r="J88" s="18">
        <f>G88*H88</f>
        <v>0</v>
      </c>
      <c r="L88" s="527">
        <f t="shared" ref="L88" si="576">L$36</f>
        <v>0</v>
      </c>
      <c r="M88" s="12">
        <f t="shared" ref="M88" si="577">F88+J88+L88</f>
        <v>0</v>
      </c>
      <c r="N88" s="517" t="e">
        <f t="shared" si="479"/>
        <v>#DIV/0!</v>
      </c>
      <c r="O88" s="1">
        <f>O86+1</f>
        <v>41</v>
      </c>
      <c r="P88" s="63"/>
      <c r="Q88" s="20">
        <f>1/((1+Q$3)^O88)</f>
        <v>0.29762800075126877</v>
      </c>
      <c r="R88" s="11">
        <f t="shared" si="458"/>
        <v>0</v>
      </c>
      <c r="S88" s="11">
        <f t="shared" si="473"/>
        <v>0</v>
      </c>
      <c r="T88" s="12">
        <f>T$6</f>
        <v>0</v>
      </c>
      <c r="U88" s="21">
        <f>IF(U$3=U$4,O88,(1+U$4)*(((1+U$3)^O88-(1+U$4)^O88)/((1+U$3)^O88*(U$3-U$4))))</f>
        <v>33.627572234009556</v>
      </c>
      <c r="W88" s="18">
        <f>T88*U88</f>
        <v>0</v>
      </c>
      <c r="Y88" s="527">
        <f t="shared" ref="Y88" si="578">Y$36</f>
        <v>0</v>
      </c>
      <c r="Z88" s="12">
        <f t="shared" ref="Z88" si="579">S88+W88+Y88</f>
        <v>0</v>
      </c>
      <c r="AA88" s="517" t="e">
        <f t="shared" si="482"/>
        <v>#DIV/0!</v>
      </c>
      <c r="AB88" s="1">
        <f>AB86+1</f>
        <v>41</v>
      </c>
      <c r="AC88" s="63"/>
      <c r="AD88" s="20">
        <f>1/((1+AD$3)^AB88)</f>
        <v>0.29762800075126877</v>
      </c>
      <c r="AE88" s="11">
        <f t="shared" si="461"/>
        <v>0</v>
      </c>
      <c r="AF88" s="11">
        <f t="shared" si="474"/>
        <v>0</v>
      </c>
      <c r="AG88" s="12">
        <f>AG$6</f>
        <v>0</v>
      </c>
      <c r="AH88" s="21">
        <f>IF(AH$3=AH$4,AB88,(1+AH$4)*(((1+AH$3)^AB88-(1+AH$4)^AB88)/((1+AH$3)^AB88*(AH$3-AH$4))))</f>
        <v>33.627572234009556</v>
      </c>
      <c r="AJ88" s="18">
        <f>AG88*AH88</f>
        <v>0</v>
      </c>
      <c r="AL88" s="527">
        <f t="shared" ref="AL88" si="580">AL$36</f>
        <v>0</v>
      </c>
      <c r="AM88" s="12">
        <f t="shared" ref="AM88" si="581">AF88+AJ88+AL88</f>
        <v>0</v>
      </c>
      <c r="AN88" s="517" t="e">
        <f t="shared" si="485"/>
        <v>#DIV/0!</v>
      </c>
      <c r="AO88" s="1">
        <f>AO86+1</f>
        <v>41</v>
      </c>
      <c r="AP88" s="63"/>
      <c r="AQ88" s="20">
        <f>1/((1+AQ$3)^AO88)</f>
        <v>0.29762800075126877</v>
      </c>
      <c r="AR88" s="11">
        <f t="shared" si="464"/>
        <v>0</v>
      </c>
      <c r="AS88" s="11">
        <f t="shared" si="475"/>
        <v>0</v>
      </c>
      <c r="AT88" s="12">
        <f>AT$6</f>
        <v>0</v>
      </c>
      <c r="AU88" s="21">
        <f>IF(AU$3=AU$4,AO88,(1+AU$4)*(((1+AU$3)^AO88-(1+AU$4)^AO88)/((1+AU$3)^AO88*(AU$3-AU$4))))</f>
        <v>33.627572234009556</v>
      </c>
      <c r="AW88" s="18">
        <f>AT88*AU88</f>
        <v>0</v>
      </c>
      <c r="AY88" s="527">
        <f t="shared" ref="AY88" si="582">AY$36</f>
        <v>0</v>
      </c>
      <c r="AZ88" s="12">
        <f t="shared" ref="AZ88" si="583">AS88+AW88+AY88</f>
        <v>0</v>
      </c>
      <c r="BA88" s="517" t="e">
        <f t="shared" ref="BA88" si="584">BA$3/AZ88*1000</f>
        <v>#DIV/0!</v>
      </c>
      <c r="BB88" s="1">
        <f>BB86+1</f>
        <v>41</v>
      </c>
      <c r="BC88" s="63"/>
      <c r="BD88" s="20">
        <f>1/((1+BD$3)^BB88)</f>
        <v>0.29762800075126877</v>
      </c>
      <c r="BE88" s="11">
        <f t="shared" si="468"/>
        <v>0</v>
      </c>
      <c r="BF88" s="11">
        <f t="shared" si="476"/>
        <v>0</v>
      </c>
      <c r="BG88" s="12">
        <f>BG$6</f>
        <v>0</v>
      </c>
      <c r="BH88" s="21">
        <f>IF(BH$3=BH$4,BB88,(1+BH$4)*(((1+BH$3)^BB88-(1+BH$4)^BB88)/((1+BH$3)^BB88*(BH$3-BH$4))))</f>
        <v>33.627572234009556</v>
      </c>
      <c r="BJ88" s="18">
        <f>BG88*BH88</f>
        <v>0</v>
      </c>
      <c r="BL88" s="527">
        <f t="shared" ref="BL88" si="585">BL$36</f>
        <v>0</v>
      </c>
      <c r="BM88" s="12">
        <f t="shared" ref="BM88" si="586">BF88+BJ88+BL88</f>
        <v>0</v>
      </c>
      <c r="BN88" s="517" t="e">
        <f t="shared" ref="BN88" si="587">BN$3/BM88*1000</f>
        <v>#DIV/0!</v>
      </c>
    </row>
    <row r="89" spans="1:66" x14ac:dyDescent="0.2">
      <c r="C89" s="63"/>
      <c r="D89" s="20"/>
      <c r="E89" s="11">
        <f t="shared" si="455"/>
        <v>0</v>
      </c>
      <c r="F89" s="11">
        <f t="shared" si="472"/>
        <v>0</v>
      </c>
      <c r="H89" s="20"/>
      <c r="L89" s="527"/>
      <c r="N89" s="517"/>
      <c r="P89" s="63"/>
      <c r="Q89" s="20"/>
      <c r="R89" s="11">
        <f t="shared" si="458"/>
        <v>0</v>
      </c>
      <c r="S89" s="11">
        <f t="shared" si="473"/>
        <v>0</v>
      </c>
      <c r="U89" s="21"/>
      <c r="Y89" s="527"/>
      <c r="AA89" s="517"/>
      <c r="AC89" s="63"/>
      <c r="AD89" s="20"/>
      <c r="AE89" s="11">
        <f t="shared" si="461"/>
        <v>0</v>
      </c>
      <c r="AF89" s="11">
        <f t="shared" si="474"/>
        <v>0</v>
      </c>
      <c r="AH89" s="20"/>
      <c r="AN89" s="517"/>
      <c r="AP89" s="63"/>
      <c r="AQ89" s="20"/>
      <c r="AR89" s="11">
        <f t="shared" si="464"/>
        <v>0</v>
      </c>
      <c r="AS89" s="11">
        <f t="shared" si="475"/>
        <v>0</v>
      </c>
      <c r="AU89" s="20"/>
      <c r="AY89" s="527"/>
      <c r="BA89" s="517"/>
      <c r="BC89" s="63"/>
      <c r="BD89" s="20"/>
      <c r="BE89" s="11">
        <f t="shared" si="468"/>
        <v>0</v>
      </c>
      <c r="BF89" s="11">
        <f t="shared" si="476"/>
        <v>0</v>
      </c>
      <c r="BH89" s="20"/>
      <c r="BL89" s="527"/>
      <c r="BN89" s="517"/>
    </row>
    <row r="90" spans="1:66" x14ac:dyDescent="0.2">
      <c r="A90" s="1">
        <f>A88+1</f>
        <v>2051</v>
      </c>
      <c r="B90" s="1">
        <f>B88+1</f>
        <v>42</v>
      </c>
      <c r="C90" s="63"/>
      <c r="D90" s="20">
        <f>1/((1+D$3)^B90)</f>
        <v>0.28895922403035801</v>
      </c>
      <c r="E90" s="11">
        <f t="shared" si="455"/>
        <v>0</v>
      </c>
      <c r="F90" s="11">
        <f t="shared" si="472"/>
        <v>0</v>
      </c>
      <c r="G90" s="12">
        <f>G$6</f>
        <v>0</v>
      </c>
      <c r="H90" s="20">
        <f>IF(H$3=H$4,B90,(1+H$4)*(((1+H$3)^B90-(1+H$4)^B90)/((1+H$3)^B90*(H$3-H$4))))</f>
        <v>34.291382212320151</v>
      </c>
      <c r="J90" s="18">
        <f>G90*H90</f>
        <v>0</v>
      </c>
      <c r="L90" s="527">
        <f t="shared" ref="L90" si="588">L$36</f>
        <v>0</v>
      </c>
      <c r="M90" s="12">
        <f t="shared" ref="M90" si="589">F90+J90+L90</f>
        <v>0</v>
      </c>
      <c r="N90" s="517" t="e">
        <f t="shared" si="479"/>
        <v>#DIV/0!</v>
      </c>
      <c r="O90" s="1">
        <f>O88+1</f>
        <v>42</v>
      </c>
      <c r="P90" s="63"/>
      <c r="Q90" s="20">
        <f>1/((1+Q$3)^O90)</f>
        <v>0.28895922403035801</v>
      </c>
      <c r="R90" s="11">
        <f t="shared" si="458"/>
        <v>0</v>
      </c>
      <c r="S90" s="11">
        <f t="shared" si="473"/>
        <v>0</v>
      </c>
      <c r="T90" s="12">
        <f>T$6</f>
        <v>0</v>
      </c>
      <c r="U90" s="21">
        <f>IF(U$3=U$4,O90,(1+U$4)*(((1+U$3)^O90-(1+U$4)^O90)/((1+U$3)^O90*(U$3-U$4))))</f>
        <v>34.291382212320151</v>
      </c>
      <c r="W90" s="18">
        <f>T90*U90</f>
        <v>0</v>
      </c>
      <c r="Y90" s="527">
        <f t="shared" ref="Y90" si="590">Y$36</f>
        <v>0</v>
      </c>
      <c r="Z90" s="12">
        <f t="shared" ref="Z90" si="591">S90+W90+Y90</f>
        <v>0</v>
      </c>
      <c r="AA90" s="517" t="e">
        <f t="shared" si="482"/>
        <v>#DIV/0!</v>
      </c>
      <c r="AB90" s="1">
        <f>AB88+1</f>
        <v>42</v>
      </c>
      <c r="AC90" s="63"/>
      <c r="AD90" s="20">
        <f>1/((1+AD$3)^AB90)</f>
        <v>0.28895922403035801</v>
      </c>
      <c r="AE90" s="11">
        <f t="shared" si="461"/>
        <v>0</v>
      </c>
      <c r="AF90" s="11">
        <f t="shared" si="474"/>
        <v>0</v>
      </c>
      <c r="AG90" s="12">
        <f>AG$6</f>
        <v>0</v>
      </c>
      <c r="AH90" s="21">
        <f>IF(AH$3=AH$4,AB90,(1+AH$4)*(((1+AH$3)^AB90-(1+AH$4)^AB90)/((1+AH$3)^AB90*(AH$3-AH$4))))</f>
        <v>34.291382212320151</v>
      </c>
      <c r="AJ90" s="18">
        <f>AG90*AH90</f>
        <v>0</v>
      </c>
      <c r="AL90" s="527">
        <f t="shared" ref="AL90" si="592">AL$36</f>
        <v>0</v>
      </c>
      <c r="AM90" s="12">
        <f t="shared" ref="AM90" si="593">AF90+AJ90+AL90</f>
        <v>0</v>
      </c>
      <c r="AN90" s="517" t="e">
        <f t="shared" si="485"/>
        <v>#DIV/0!</v>
      </c>
      <c r="AO90" s="1">
        <f>AO88+1</f>
        <v>42</v>
      </c>
      <c r="AP90" s="63"/>
      <c r="AQ90" s="20">
        <f>1/((1+AQ$3)^AO90)</f>
        <v>0.28895922403035801</v>
      </c>
      <c r="AR90" s="11">
        <f t="shared" si="464"/>
        <v>0</v>
      </c>
      <c r="AS90" s="11">
        <f t="shared" si="475"/>
        <v>0</v>
      </c>
      <c r="AT90" s="12">
        <f>AT$6</f>
        <v>0</v>
      </c>
      <c r="AU90" s="21">
        <f>IF(AU$3=AU$4,AO90,(1+AU$4)*(((1+AU$3)^AO90-(1+AU$4)^AO90)/((1+AU$3)^AO90*(AU$3-AU$4))))</f>
        <v>34.291382212320151</v>
      </c>
      <c r="AW90" s="18">
        <f>AT90*AU90</f>
        <v>0</v>
      </c>
      <c r="AY90" s="527">
        <f t="shared" ref="AY90" si="594">AY$36</f>
        <v>0</v>
      </c>
      <c r="AZ90" s="12">
        <f t="shared" ref="AZ90" si="595">AS90+AW90+AY90</f>
        <v>0</v>
      </c>
      <c r="BA90" s="517" t="e">
        <f t="shared" ref="BA90" si="596">BA$3/AZ90*1000</f>
        <v>#DIV/0!</v>
      </c>
      <c r="BB90" s="1">
        <f>BB88+1</f>
        <v>42</v>
      </c>
      <c r="BC90" s="63"/>
      <c r="BD90" s="20">
        <f>1/((1+BD$3)^BB90)</f>
        <v>0.28895922403035801</v>
      </c>
      <c r="BE90" s="11">
        <f t="shared" si="468"/>
        <v>0</v>
      </c>
      <c r="BF90" s="11">
        <f t="shared" si="476"/>
        <v>0</v>
      </c>
      <c r="BG90" s="12">
        <f>BG$6</f>
        <v>0</v>
      </c>
      <c r="BH90" s="21">
        <f>IF(BH$3=BH$4,BB90,(1+BH$4)*(((1+BH$3)^BB90-(1+BH$4)^BB90)/((1+BH$3)^BB90*(BH$3-BH$4))))</f>
        <v>34.291382212320151</v>
      </c>
      <c r="BJ90" s="18">
        <f>BG90*BH90</f>
        <v>0</v>
      </c>
      <c r="BL90" s="527">
        <f t="shared" ref="BL90" si="597">BL$36</f>
        <v>0</v>
      </c>
      <c r="BM90" s="12">
        <f t="shared" ref="BM90" si="598">BF90+BJ90+BL90</f>
        <v>0</v>
      </c>
      <c r="BN90" s="517" t="e">
        <f t="shared" ref="BN90" si="599">BN$3/BM90*1000</f>
        <v>#DIV/0!</v>
      </c>
    </row>
    <row r="91" spans="1:66" x14ac:dyDescent="0.2">
      <c r="C91" s="63"/>
      <c r="D91" s="20"/>
      <c r="E91" s="11">
        <f t="shared" si="455"/>
        <v>0</v>
      </c>
      <c r="F91" s="11">
        <f t="shared" si="472"/>
        <v>0</v>
      </c>
      <c r="H91" s="20"/>
      <c r="L91" s="527"/>
      <c r="N91" s="517"/>
      <c r="P91" s="63"/>
      <c r="Q91" s="20"/>
      <c r="R91" s="11">
        <f t="shared" si="458"/>
        <v>0</v>
      </c>
      <c r="S91" s="11">
        <f t="shared" si="473"/>
        <v>0</v>
      </c>
      <c r="U91" s="21"/>
      <c r="Y91" s="527"/>
      <c r="AA91" s="517"/>
      <c r="AC91" s="63"/>
      <c r="AD91" s="20"/>
      <c r="AE91" s="11">
        <f t="shared" si="461"/>
        <v>0</v>
      </c>
      <c r="AF91" s="11">
        <f t="shared" si="474"/>
        <v>0</v>
      </c>
      <c r="AH91" s="20"/>
      <c r="AN91" s="517"/>
      <c r="AP91" s="63"/>
      <c r="AQ91" s="20"/>
      <c r="AR91" s="11">
        <f t="shared" si="464"/>
        <v>0</v>
      </c>
      <c r="AS91" s="11">
        <f t="shared" si="475"/>
        <v>0</v>
      </c>
      <c r="AU91" s="20"/>
      <c r="AY91" s="527"/>
      <c r="BA91" s="517"/>
      <c r="BC91" s="63"/>
      <c r="BD91" s="20"/>
      <c r="BE91" s="11">
        <f t="shared" si="468"/>
        <v>0</v>
      </c>
      <c r="BF91" s="11">
        <f t="shared" si="476"/>
        <v>0</v>
      </c>
      <c r="BH91" s="20"/>
      <c r="BL91" s="527"/>
      <c r="BN91" s="517"/>
    </row>
    <row r="92" spans="1:66" x14ac:dyDescent="0.2">
      <c r="A92" s="1">
        <f>A90+1</f>
        <v>2052</v>
      </c>
      <c r="B92" s="1">
        <f>B90+1</f>
        <v>43</v>
      </c>
      <c r="C92" s="63"/>
      <c r="D92" s="20">
        <f>1/((1+D$3)^B92)</f>
        <v>0.28054293595180391</v>
      </c>
      <c r="E92" s="11">
        <f t="shared" si="455"/>
        <v>0</v>
      </c>
      <c r="F92" s="11">
        <f t="shared" si="472"/>
        <v>0</v>
      </c>
      <c r="G92" s="12">
        <f>G$6</f>
        <v>0</v>
      </c>
      <c r="H92" s="20">
        <f>IF(H$3=H$4,B92,(1+H$4)*(((1+H$3)^B92-(1+H$4)^B92)/((1+H$3)^B92*(H$3-H$4))))</f>
        <v>34.948747433559767</v>
      </c>
      <c r="J92" s="18">
        <f>G92*H92</f>
        <v>0</v>
      </c>
      <c r="L92" s="527">
        <f t="shared" ref="L92" si="600">L$36</f>
        <v>0</v>
      </c>
      <c r="M92" s="12">
        <f t="shared" ref="M92" si="601">F92+J92+L92</f>
        <v>0</v>
      </c>
      <c r="N92" s="517" t="e">
        <f t="shared" si="479"/>
        <v>#DIV/0!</v>
      </c>
      <c r="O92" s="1">
        <f>O90+1</f>
        <v>43</v>
      </c>
      <c r="P92" s="63"/>
      <c r="Q92" s="20">
        <f>1/((1+Q$3)^O92)</f>
        <v>0.28054293595180391</v>
      </c>
      <c r="R92" s="11">
        <f t="shared" si="458"/>
        <v>0</v>
      </c>
      <c r="S92" s="11">
        <f t="shared" si="473"/>
        <v>0</v>
      </c>
      <c r="T92" s="12">
        <f>T$6</f>
        <v>0</v>
      </c>
      <c r="U92" s="21">
        <f>IF(U$3=U$4,O92,(1+U$4)*(((1+U$3)^O92-(1+U$4)^O92)/((1+U$3)^O92*(U$3-U$4))))</f>
        <v>34.948747433559767</v>
      </c>
      <c r="W92" s="18">
        <f>T92*U92</f>
        <v>0</v>
      </c>
      <c r="Y92" s="527">
        <f t="shared" ref="Y92" si="602">Y$36</f>
        <v>0</v>
      </c>
      <c r="Z92" s="12">
        <f t="shared" ref="Z92" si="603">S92+W92+Y92</f>
        <v>0</v>
      </c>
      <c r="AA92" s="517" t="e">
        <f t="shared" si="482"/>
        <v>#DIV/0!</v>
      </c>
      <c r="AB92" s="1">
        <f>AB90+1</f>
        <v>43</v>
      </c>
      <c r="AC92" s="63"/>
      <c r="AD92" s="20">
        <f>1/((1+AD$3)^AB92)</f>
        <v>0.28054293595180391</v>
      </c>
      <c r="AE92" s="11">
        <f t="shared" si="461"/>
        <v>0</v>
      </c>
      <c r="AF92" s="11">
        <f t="shared" si="474"/>
        <v>0</v>
      </c>
      <c r="AG92" s="12">
        <f>AG$6</f>
        <v>0</v>
      </c>
      <c r="AH92" s="21">
        <f>IF(AH$3=AH$4,AB92,(1+AH$4)*(((1+AH$3)^AB92-(1+AH$4)^AB92)/((1+AH$3)^AB92*(AH$3-AH$4))))</f>
        <v>34.948747433559767</v>
      </c>
      <c r="AJ92" s="18">
        <f>AG92*AH92</f>
        <v>0</v>
      </c>
      <c r="AL92" s="527">
        <f t="shared" ref="AL92" si="604">AL$36</f>
        <v>0</v>
      </c>
      <c r="AM92" s="12">
        <f t="shared" ref="AM92" si="605">AF92+AJ92+AL92</f>
        <v>0</v>
      </c>
      <c r="AN92" s="517" t="e">
        <f t="shared" si="485"/>
        <v>#DIV/0!</v>
      </c>
      <c r="AO92" s="1">
        <f>AO90+1</f>
        <v>43</v>
      </c>
      <c r="AP92" s="63"/>
      <c r="AQ92" s="20">
        <f>1/((1+AQ$3)^AO92)</f>
        <v>0.28054293595180391</v>
      </c>
      <c r="AR92" s="11">
        <f t="shared" si="464"/>
        <v>0</v>
      </c>
      <c r="AS92" s="11">
        <f t="shared" si="475"/>
        <v>0</v>
      </c>
      <c r="AT92" s="12">
        <f>AT$6</f>
        <v>0</v>
      </c>
      <c r="AU92" s="21">
        <f>IF(AU$3=AU$4,AO92,(1+AU$4)*(((1+AU$3)^AO92-(1+AU$4)^AO92)/((1+AU$3)^AO92*(AU$3-AU$4))))</f>
        <v>34.948747433559767</v>
      </c>
      <c r="AW92" s="18">
        <f>AT92*AU92</f>
        <v>0</v>
      </c>
      <c r="AY92" s="527">
        <f t="shared" ref="AY92" si="606">AY$36</f>
        <v>0</v>
      </c>
      <c r="AZ92" s="12">
        <f t="shared" ref="AZ92" si="607">AS92+AW92+AY92</f>
        <v>0</v>
      </c>
      <c r="BA92" s="517" t="e">
        <f t="shared" ref="BA92" si="608">BA$3/AZ92*1000</f>
        <v>#DIV/0!</v>
      </c>
      <c r="BB92" s="1">
        <f>BB90+1</f>
        <v>43</v>
      </c>
      <c r="BC92" s="63"/>
      <c r="BD92" s="20">
        <f>1/((1+BD$3)^BB92)</f>
        <v>0.28054293595180391</v>
      </c>
      <c r="BE92" s="11">
        <f t="shared" si="468"/>
        <v>0</v>
      </c>
      <c r="BF92" s="11">
        <f t="shared" si="476"/>
        <v>0</v>
      </c>
      <c r="BG92" s="12">
        <f>BG$6</f>
        <v>0</v>
      </c>
      <c r="BH92" s="21">
        <f>IF(BH$3=BH$4,BB92,(1+BH$4)*(((1+BH$3)^BB92-(1+BH$4)^BB92)/((1+BH$3)^BB92*(BH$3-BH$4))))</f>
        <v>34.948747433559767</v>
      </c>
      <c r="BJ92" s="18">
        <f>BG92*BH92</f>
        <v>0</v>
      </c>
      <c r="BL92" s="527">
        <f t="shared" ref="BL92" si="609">BL$36</f>
        <v>0</v>
      </c>
      <c r="BM92" s="12">
        <f t="shared" ref="BM92" si="610">BF92+BJ92+BL92</f>
        <v>0</v>
      </c>
      <c r="BN92" s="517" t="e">
        <f t="shared" ref="BN92" si="611">BN$3/BM92*1000</f>
        <v>#DIV/0!</v>
      </c>
    </row>
    <row r="93" spans="1:66" x14ac:dyDescent="0.2">
      <c r="C93" s="63"/>
      <c r="D93" s="20"/>
      <c r="E93" s="11">
        <f t="shared" si="455"/>
        <v>0</v>
      </c>
      <c r="F93" s="11">
        <f t="shared" si="472"/>
        <v>0</v>
      </c>
      <c r="H93" s="20"/>
      <c r="L93" s="527"/>
      <c r="N93" s="517"/>
      <c r="P93" s="63"/>
      <c r="Q93" s="20"/>
      <c r="R93" s="11">
        <f t="shared" si="458"/>
        <v>0</v>
      </c>
      <c r="S93" s="11">
        <f t="shared" si="473"/>
        <v>0</v>
      </c>
      <c r="U93" s="21"/>
      <c r="Y93" s="527"/>
      <c r="AA93" s="517"/>
      <c r="AC93" s="63"/>
      <c r="AD93" s="20"/>
      <c r="AE93" s="11">
        <f t="shared" si="461"/>
        <v>0</v>
      </c>
      <c r="AF93" s="11">
        <f t="shared" si="474"/>
        <v>0</v>
      </c>
      <c r="AH93" s="20"/>
      <c r="AN93" s="517"/>
      <c r="AP93" s="63"/>
      <c r="AQ93" s="20"/>
      <c r="AR93" s="11">
        <f t="shared" si="464"/>
        <v>0</v>
      </c>
      <c r="AS93" s="11">
        <f t="shared" si="475"/>
        <v>0</v>
      </c>
      <c r="AU93" s="20"/>
      <c r="AY93" s="527"/>
      <c r="BA93" s="517"/>
      <c r="BC93" s="63"/>
      <c r="BD93" s="20"/>
      <c r="BE93" s="11">
        <f t="shared" si="468"/>
        <v>0</v>
      </c>
      <c r="BF93" s="11">
        <f t="shared" si="476"/>
        <v>0</v>
      </c>
      <c r="BH93" s="20"/>
      <c r="BL93" s="527"/>
      <c r="BN93" s="517"/>
    </row>
    <row r="94" spans="1:66" x14ac:dyDescent="0.2">
      <c r="A94" s="1">
        <f>A92+1</f>
        <v>2053</v>
      </c>
      <c r="B94" s="1">
        <f>B92+1</f>
        <v>44</v>
      </c>
      <c r="C94" s="63"/>
      <c r="D94" s="20">
        <f>1/((1+D$3)^B94)</f>
        <v>0.27237178247747956</v>
      </c>
      <c r="E94" s="11">
        <f t="shared" si="455"/>
        <v>0</v>
      </c>
      <c r="F94" s="11">
        <f t="shared" si="472"/>
        <v>0</v>
      </c>
      <c r="G94" s="12">
        <f>G$6</f>
        <v>0</v>
      </c>
      <c r="H94" s="20">
        <f>IF(H$3=H$4,B94,(1+H$4)*(((1+H$3)^B94-(1+H$4)^B94)/((1+H$3)^B94*(H$3-H$4))))</f>
        <v>35.599730468185378</v>
      </c>
      <c r="J94" s="18">
        <f>G94*H94</f>
        <v>0</v>
      </c>
      <c r="L94" s="527">
        <f t="shared" ref="L94" si="612">L$36</f>
        <v>0</v>
      </c>
      <c r="M94" s="12">
        <f t="shared" ref="M94" si="613">F94+J94+L94</f>
        <v>0</v>
      </c>
      <c r="N94" s="517" t="e">
        <f t="shared" si="479"/>
        <v>#DIV/0!</v>
      </c>
      <c r="O94" s="1">
        <f>O92+1</f>
        <v>44</v>
      </c>
      <c r="P94" s="63"/>
      <c r="Q94" s="20">
        <f>1/((1+Q$3)^O94)</f>
        <v>0.27237178247747956</v>
      </c>
      <c r="R94" s="11">
        <f t="shared" si="458"/>
        <v>0</v>
      </c>
      <c r="S94" s="11">
        <f t="shared" si="473"/>
        <v>0</v>
      </c>
      <c r="T94" s="12">
        <f>T$6</f>
        <v>0</v>
      </c>
      <c r="U94" s="21">
        <f>IF(U$3=U$4,O94,(1+U$4)*(((1+U$3)^O94-(1+U$4)^O94)/((1+U$3)^O94*(U$3-U$4))))</f>
        <v>35.599730468185378</v>
      </c>
      <c r="W94" s="18">
        <f>T94*U94</f>
        <v>0</v>
      </c>
      <c r="Y94" s="527">
        <f t="shared" ref="Y94" si="614">Y$36</f>
        <v>0</v>
      </c>
      <c r="Z94" s="12">
        <f t="shared" ref="Z94" si="615">S94+W94+Y94</f>
        <v>0</v>
      </c>
      <c r="AA94" s="517" t="e">
        <f t="shared" si="482"/>
        <v>#DIV/0!</v>
      </c>
      <c r="AB94" s="1">
        <f>AB92+1</f>
        <v>44</v>
      </c>
      <c r="AC94" s="63"/>
      <c r="AD94" s="20">
        <f>1/((1+AD$3)^AB94)</f>
        <v>0.27237178247747956</v>
      </c>
      <c r="AE94" s="11">
        <f t="shared" si="461"/>
        <v>0</v>
      </c>
      <c r="AF94" s="11">
        <f t="shared" si="474"/>
        <v>0</v>
      </c>
      <c r="AG94" s="12">
        <f>AG$6</f>
        <v>0</v>
      </c>
      <c r="AH94" s="21">
        <f>IF(AH$3=AH$4,AB94,(1+AH$4)*(((1+AH$3)^AB94-(1+AH$4)^AB94)/((1+AH$3)^AB94*(AH$3-AH$4))))</f>
        <v>35.599730468185378</v>
      </c>
      <c r="AJ94" s="18">
        <f>AG94*AH94</f>
        <v>0</v>
      </c>
      <c r="AL94" s="527">
        <f t="shared" ref="AL94" si="616">AL$36</f>
        <v>0</v>
      </c>
      <c r="AM94" s="12">
        <f t="shared" ref="AM94" si="617">AF94+AJ94+AL94</f>
        <v>0</v>
      </c>
      <c r="AN94" s="517" t="e">
        <f t="shared" si="485"/>
        <v>#DIV/0!</v>
      </c>
      <c r="AO94" s="1">
        <f>AO92+1</f>
        <v>44</v>
      </c>
      <c r="AP94" s="63"/>
      <c r="AQ94" s="20">
        <f>1/((1+AQ$3)^AO94)</f>
        <v>0.27237178247747956</v>
      </c>
      <c r="AR94" s="11">
        <f t="shared" si="464"/>
        <v>0</v>
      </c>
      <c r="AS94" s="11">
        <f t="shared" si="475"/>
        <v>0</v>
      </c>
      <c r="AT94" s="12">
        <f>AT$6</f>
        <v>0</v>
      </c>
      <c r="AU94" s="21">
        <f>IF(AU$3=AU$4,AO94,(1+AU$4)*(((1+AU$3)^AO94-(1+AU$4)^AO94)/((1+AU$3)^AO94*(AU$3-AU$4))))</f>
        <v>35.599730468185378</v>
      </c>
      <c r="AW94" s="18">
        <f>AT94*AU94</f>
        <v>0</v>
      </c>
      <c r="AY94" s="527">
        <f t="shared" ref="AY94" si="618">AY$36</f>
        <v>0</v>
      </c>
      <c r="AZ94" s="12">
        <f t="shared" ref="AZ94" si="619">AS94+AW94+AY94</f>
        <v>0</v>
      </c>
      <c r="BA94" s="517" t="e">
        <f t="shared" ref="BA94" si="620">BA$3/AZ94*1000</f>
        <v>#DIV/0!</v>
      </c>
      <c r="BB94" s="1">
        <f>BB92+1</f>
        <v>44</v>
      </c>
      <c r="BC94" s="63"/>
      <c r="BD94" s="20">
        <f>1/((1+BD$3)^BB94)</f>
        <v>0.27237178247747956</v>
      </c>
      <c r="BE94" s="11">
        <f t="shared" si="468"/>
        <v>0</v>
      </c>
      <c r="BF94" s="11">
        <f t="shared" si="476"/>
        <v>0</v>
      </c>
      <c r="BG94" s="12">
        <f>BG$6</f>
        <v>0</v>
      </c>
      <c r="BH94" s="21">
        <f>IF(BH$3=BH$4,BB94,(1+BH$4)*(((1+BH$3)^BB94-(1+BH$4)^BB94)/((1+BH$3)^BB94*(BH$3-BH$4))))</f>
        <v>35.599730468185378</v>
      </c>
      <c r="BJ94" s="18">
        <f>BG94*BH94</f>
        <v>0</v>
      </c>
      <c r="BL94" s="527">
        <f t="shared" ref="BL94" si="621">BL$36</f>
        <v>0</v>
      </c>
      <c r="BM94" s="12">
        <f t="shared" ref="BM94" si="622">BF94+BJ94+BL94</f>
        <v>0</v>
      </c>
      <c r="BN94" s="517" t="e">
        <f t="shared" ref="BN94" si="623">BN$3/BM94*1000</f>
        <v>#DIV/0!</v>
      </c>
    </row>
    <row r="95" spans="1:66" x14ac:dyDescent="0.2">
      <c r="C95" s="63"/>
      <c r="D95" s="20"/>
      <c r="E95" s="11">
        <f t="shared" si="455"/>
        <v>0</v>
      </c>
      <c r="F95" s="11">
        <f t="shared" si="472"/>
        <v>0</v>
      </c>
      <c r="H95" s="20"/>
      <c r="L95" s="527"/>
      <c r="N95" s="517"/>
      <c r="P95" s="63"/>
      <c r="Q95" s="20"/>
      <c r="R95" s="11">
        <f t="shared" si="458"/>
        <v>0</v>
      </c>
      <c r="S95" s="11">
        <f t="shared" si="473"/>
        <v>0</v>
      </c>
      <c r="U95" s="21"/>
      <c r="Y95" s="527"/>
      <c r="AA95" s="517"/>
      <c r="AC95" s="63"/>
      <c r="AD95" s="20"/>
      <c r="AE95" s="11">
        <f t="shared" si="461"/>
        <v>0</v>
      </c>
      <c r="AF95" s="11">
        <f t="shared" si="474"/>
        <v>0</v>
      </c>
      <c r="AH95" s="20"/>
      <c r="AN95" s="517"/>
      <c r="AP95" s="63"/>
      <c r="AQ95" s="20"/>
      <c r="AR95" s="11">
        <f t="shared" si="464"/>
        <v>0</v>
      </c>
      <c r="AS95" s="11">
        <f t="shared" si="475"/>
        <v>0</v>
      </c>
      <c r="AU95" s="20"/>
      <c r="AY95" s="527"/>
      <c r="BA95" s="517"/>
      <c r="BC95" s="63"/>
      <c r="BD95" s="20"/>
      <c r="BE95" s="11">
        <f t="shared" si="468"/>
        <v>0</v>
      </c>
      <c r="BF95" s="11">
        <f t="shared" si="476"/>
        <v>0</v>
      </c>
      <c r="BH95" s="20"/>
      <c r="BL95" s="527"/>
      <c r="BN95" s="517"/>
    </row>
    <row r="96" spans="1:66" x14ac:dyDescent="0.2">
      <c r="A96" s="1">
        <f>A94+1</f>
        <v>2054</v>
      </c>
      <c r="B96" s="1">
        <f>B94+1</f>
        <v>45</v>
      </c>
      <c r="C96" s="63"/>
      <c r="D96" s="20">
        <f>1/((1+D$3)^B96)</f>
        <v>0.26443862376454325</v>
      </c>
      <c r="E96" s="11">
        <f t="shared" si="455"/>
        <v>0</v>
      </c>
      <c r="F96" s="11">
        <f t="shared" si="472"/>
        <v>0</v>
      </c>
      <c r="G96" s="12">
        <f>G$6</f>
        <v>0</v>
      </c>
      <c r="H96" s="20">
        <f>IF(H$3=H$4,B96,(1+H$4)*(((1+H$3)^B96-(1+H$4)^B96)/((1+H$3)^B96*(H$3-H$4))))</f>
        <v>36.24439327917387</v>
      </c>
      <c r="J96" s="18">
        <f>G96*H96</f>
        <v>0</v>
      </c>
      <c r="L96" s="527">
        <f t="shared" ref="L96" si="624">L$36</f>
        <v>0</v>
      </c>
      <c r="M96" s="12">
        <f t="shared" ref="M96" si="625">F96+J96+L96</f>
        <v>0</v>
      </c>
      <c r="N96" s="517" t="e">
        <f t="shared" si="479"/>
        <v>#DIV/0!</v>
      </c>
      <c r="O96" s="1">
        <f>O94+1</f>
        <v>45</v>
      </c>
      <c r="P96" s="63"/>
      <c r="Q96" s="20">
        <f>1/((1+Q$3)^O96)</f>
        <v>0.26443862376454325</v>
      </c>
      <c r="R96" s="11">
        <f t="shared" si="458"/>
        <v>0</v>
      </c>
      <c r="S96" s="11">
        <f t="shared" si="473"/>
        <v>0</v>
      </c>
      <c r="T96" s="12">
        <f>T$6</f>
        <v>0</v>
      </c>
      <c r="U96" s="21">
        <f>IF(U$3=U$4,O96,(1+U$4)*(((1+U$3)^O96-(1+U$4)^O96)/((1+U$3)^O96*(U$3-U$4))))</f>
        <v>36.24439327917387</v>
      </c>
      <c r="W96" s="18">
        <f>T96*U96</f>
        <v>0</v>
      </c>
      <c r="Y96" s="527">
        <f t="shared" ref="Y96" si="626">Y$36</f>
        <v>0</v>
      </c>
      <c r="Z96" s="12">
        <f t="shared" ref="Z96" si="627">S96+W96+Y96</f>
        <v>0</v>
      </c>
      <c r="AA96" s="517" t="e">
        <f t="shared" si="482"/>
        <v>#DIV/0!</v>
      </c>
      <c r="AB96" s="1">
        <f>AB94+1</f>
        <v>45</v>
      </c>
      <c r="AC96" s="63"/>
      <c r="AD96" s="20">
        <f>1/((1+AD$3)^AB96)</f>
        <v>0.26443862376454325</v>
      </c>
      <c r="AE96" s="11">
        <f t="shared" si="461"/>
        <v>0</v>
      </c>
      <c r="AF96" s="11">
        <f t="shared" si="474"/>
        <v>0</v>
      </c>
      <c r="AG96" s="12">
        <f>AG$6</f>
        <v>0</v>
      </c>
      <c r="AH96" s="21">
        <f>IF(AH$3=AH$4,AB96,(1+AH$4)*(((1+AH$3)^AB96-(1+AH$4)^AB96)/((1+AH$3)^AB96*(AH$3-AH$4))))</f>
        <v>36.24439327917387</v>
      </c>
      <c r="AJ96" s="18">
        <f>AG96*AH96</f>
        <v>0</v>
      </c>
      <c r="AL96" s="527">
        <f t="shared" ref="AL96" si="628">AL$36</f>
        <v>0</v>
      </c>
      <c r="AM96" s="12">
        <f t="shared" ref="AM96" si="629">AF96+AJ96+AL96</f>
        <v>0</v>
      </c>
      <c r="AN96" s="517" t="e">
        <f t="shared" si="485"/>
        <v>#DIV/0!</v>
      </c>
      <c r="AO96" s="1">
        <f>AO94+1</f>
        <v>45</v>
      </c>
      <c r="AP96" s="63"/>
      <c r="AQ96" s="20">
        <f>1/((1+AQ$3)^AO96)</f>
        <v>0.26443862376454325</v>
      </c>
      <c r="AR96" s="11">
        <f t="shared" si="464"/>
        <v>0</v>
      </c>
      <c r="AS96" s="11">
        <f t="shared" si="475"/>
        <v>0</v>
      </c>
      <c r="AT96" s="12">
        <f>AT$6</f>
        <v>0</v>
      </c>
      <c r="AU96" s="21">
        <f>IF(AU$3=AU$4,AO96,(1+AU$4)*(((1+AU$3)^AO96-(1+AU$4)^AO96)/((1+AU$3)^AO96*(AU$3-AU$4))))</f>
        <v>36.24439327917387</v>
      </c>
      <c r="AW96" s="18">
        <f>AT96*AU96</f>
        <v>0</v>
      </c>
      <c r="AY96" s="527">
        <f t="shared" ref="AY96" si="630">AY$36</f>
        <v>0</v>
      </c>
      <c r="AZ96" s="12">
        <f t="shared" ref="AZ96" si="631">AS96+AW96+AY96</f>
        <v>0</v>
      </c>
      <c r="BA96" s="517" t="e">
        <f t="shared" ref="BA96" si="632">BA$3/AZ96*1000</f>
        <v>#DIV/0!</v>
      </c>
      <c r="BB96" s="1">
        <f>BB94+1</f>
        <v>45</v>
      </c>
      <c r="BC96" s="63"/>
      <c r="BD96" s="20">
        <f>1/((1+BD$3)^BB96)</f>
        <v>0.26443862376454325</v>
      </c>
      <c r="BE96" s="11">
        <f t="shared" si="468"/>
        <v>0</v>
      </c>
      <c r="BF96" s="11">
        <f t="shared" si="476"/>
        <v>0</v>
      </c>
      <c r="BG96" s="12">
        <f>BG$6</f>
        <v>0</v>
      </c>
      <c r="BH96" s="21">
        <f>IF(BH$3=BH$4,BB96,(1+BH$4)*(((1+BH$3)^BB96-(1+BH$4)^BB96)/((1+BH$3)^BB96*(BH$3-BH$4))))</f>
        <v>36.24439327917387</v>
      </c>
      <c r="BJ96" s="18">
        <f>BG96*BH96</f>
        <v>0</v>
      </c>
      <c r="BL96" s="527">
        <f t="shared" ref="BL96" si="633">BL$36</f>
        <v>0</v>
      </c>
      <c r="BM96" s="12">
        <f t="shared" ref="BM96" si="634">BF96+BJ96+BL96</f>
        <v>0</v>
      </c>
      <c r="BN96" s="517" t="e">
        <f t="shared" ref="BN96" si="635">BN$3/BM96*1000</f>
        <v>#DIV/0!</v>
      </c>
    </row>
    <row r="97" spans="1:66" x14ac:dyDescent="0.2">
      <c r="C97" s="63"/>
      <c r="D97" s="20"/>
      <c r="E97" s="11">
        <f t="shared" si="455"/>
        <v>0</v>
      </c>
      <c r="F97" s="11">
        <f t="shared" si="472"/>
        <v>0</v>
      </c>
      <c r="H97" s="20"/>
      <c r="L97" s="527"/>
      <c r="N97" s="517"/>
      <c r="P97" s="63"/>
      <c r="Q97" s="20"/>
      <c r="R97" s="11">
        <f t="shared" si="458"/>
        <v>0</v>
      </c>
      <c r="S97" s="11">
        <f t="shared" si="473"/>
        <v>0</v>
      </c>
      <c r="U97" s="21"/>
      <c r="Y97" s="527"/>
      <c r="AA97" s="517"/>
      <c r="AC97" s="63"/>
      <c r="AD97" s="20"/>
      <c r="AE97" s="11">
        <f t="shared" si="461"/>
        <v>0</v>
      </c>
      <c r="AF97" s="11">
        <f t="shared" si="474"/>
        <v>0</v>
      </c>
      <c r="AH97" s="20"/>
      <c r="AN97" s="517"/>
      <c r="AP97" s="63"/>
      <c r="AQ97" s="20"/>
      <c r="AR97" s="11">
        <f t="shared" si="464"/>
        <v>0</v>
      </c>
      <c r="AS97" s="11">
        <f t="shared" si="475"/>
        <v>0</v>
      </c>
      <c r="AU97" s="20"/>
      <c r="AY97" s="527"/>
      <c r="BA97" s="517"/>
      <c r="BC97" s="63"/>
      <c r="BD97" s="20"/>
      <c r="BE97" s="11">
        <f t="shared" si="468"/>
        <v>0</v>
      </c>
      <c r="BF97" s="11">
        <f t="shared" si="476"/>
        <v>0</v>
      </c>
      <c r="BH97" s="20"/>
      <c r="BL97" s="527"/>
      <c r="BN97" s="517"/>
    </row>
    <row r="98" spans="1:66" x14ac:dyDescent="0.2">
      <c r="A98" s="1">
        <f>A96+1</f>
        <v>2055</v>
      </c>
      <c r="B98" s="1">
        <f>B96+1</f>
        <v>46</v>
      </c>
      <c r="C98" s="63"/>
      <c r="D98" s="20">
        <f>1/((1+D$3)^B98)</f>
        <v>0.25673652792674101</v>
      </c>
      <c r="E98" s="11">
        <f t="shared" si="455"/>
        <v>0</v>
      </c>
      <c r="F98" s="11">
        <f t="shared" si="472"/>
        <v>0</v>
      </c>
      <c r="G98" s="12">
        <f>G$6</f>
        <v>0</v>
      </c>
      <c r="H98" s="20">
        <f>IF(H$3=H$4,B98,(1+H$4)*(((1+H$3)^B98-(1+H$4)^B98)/((1+H$3)^B98*(H$3-H$4))))</f>
        <v>36.882797227919745</v>
      </c>
      <c r="J98" s="18">
        <f>G98*H98</f>
        <v>0</v>
      </c>
      <c r="L98" s="527">
        <f t="shared" ref="L98" si="636">L$36</f>
        <v>0</v>
      </c>
      <c r="M98" s="12">
        <f t="shared" ref="M98" si="637">F98+J98+L98</f>
        <v>0</v>
      </c>
      <c r="N98" s="517" t="e">
        <f t="shared" si="479"/>
        <v>#DIV/0!</v>
      </c>
      <c r="O98" s="1">
        <f>O96+1</f>
        <v>46</v>
      </c>
      <c r="P98" s="63"/>
      <c r="Q98" s="20">
        <f>1/((1+Q$3)^O98)</f>
        <v>0.25673652792674101</v>
      </c>
      <c r="R98" s="11">
        <f t="shared" si="458"/>
        <v>0</v>
      </c>
      <c r="S98" s="11">
        <f t="shared" si="473"/>
        <v>0</v>
      </c>
      <c r="T98" s="12">
        <f>T$6</f>
        <v>0</v>
      </c>
      <c r="U98" s="21">
        <f>IF(U$3=U$4,O98,(1+U$4)*(((1+U$3)^O98-(1+U$4)^O98)/((1+U$3)^O98*(U$3-U$4))))</f>
        <v>36.882797227919745</v>
      </c>
      <c r="W98" s="18">
        <f>T98*U98</f>
        <v>0</v>
      </c>
      <c r="Y98" s="527">
        <f t="shared" ref="Y98" si="638">Y$36</f>
        <v>0</v>
      </c>
      <c r="Z98" s="12">
        <f t="shared" ref="Z98" si="639">S98+W98+Y98</f>
        <v>0</v>
      </c>
      <c r="AA98" s="517" t="e">
        <f t="shared" si="482"/>
        <v>#DIV/0!</v>
      </c>
      <c r="AB98" s="1">
        <f>AB96+1</f>
        <v>46</v>
      </c>
      <c r="AC98" s="63"/>
      <c r="AD98" s="20">
        <f>1/((1+AD$3)^AB98)</f>
        <v>0.25673652792674101</v>
      </c>
      <c r="AE98" s="11">
        <f t="shared" si="461"/>
        <v>0</v>
      </c>
      <c r="AF98" s="11">
        <f t="shared" si="474"/>
        <v>0</v>
      </c>
      <c r="AG98" s="12">
        <f>AG$6</f>
        <v>0</v>
      </c>
      <c r="AH98" s="21">
        <f>IF(AH$3=AH$4,AB98,(1+AH$4)*(((1+AH$3)^AB98-(1+AH$4)^AB98)/((1+AH$3)^AB98*(AH$3-AH$4))))</f>
        <v>36.882797227919745</v>
      </c>
      <c r="AJ98" s="18">
        <f>AG98*AH98</f>
        <v>0</v>
      </c>
      <c r="AL98" s="527">
        <f t="shared" ref="AL98" si="640">AL$36</f>
        <v>0</v>
      </c>
      <c r="AM98" s="12">
        <f t="shared" ref="AM98" si="641">AF98+AJ98+AL98</f>
        <v>0</v>
      </c>
      <c r="AN98" s="517" t="e">
        <f t="shared" si="485"/>
        <v>#DIV/0!</v>
      </c>
      <c r="AO98" s="1">
        <f>AO96+1</f>
        <v>46</v>
      </c>
      <c r="AP98" s="63"/>
      <c r="AQ98" s="20">
        <f>1/((1+AQ$3)^AO98)</f>
        <v>0.25673652792674101</v>
      </c>
      <c r="AR98" s="11">
        <f t="shared" si="464"/>
        <v>0</v>
      </c>
      <c r="AS98" s="11">
        <f t="shared" si="475"/>
        <v>0</v>
      </c>
      <c r="AT98" s="12">
        <f>AT$6</f>
        <v>0</v>
      </c>
      <c r="AU98" s="21">
        <f>IF(AU$3=AU$4,AO98,(1+AU$4)*(((1+AU$3)^AO98-(1+AU$4)^AO98)/((1+AU$3)^AO98*(AU$3-AU$4))))</f>
        <v>36.882797227919745</v>
      </c>
      <c r="AW98" s="18">
        <f>AT98*AU98</f>
        <v>0</v>
      </c>
      <c r="AY98" s="527">
        <f t="shared" ref="AY98" si="642">AY$36</f>
        <v>0</v>
      </c>
      <c r="AZ98" s="12">
        <f t="shared" ref="AZ98" si="643">AS98+AW98+AY98</f>
        <v>0</v>
      </c>
      <c r="BA98" s="517" t="e">
        <f t="shared" ref="BA98" si="644">BA$3/AZ98*1000</f>
        <v>#DIV/0!</v>
      </c>
      <c r="BB98" s="1">
        <f>BB96+1</f>
        <v>46</v>
      </c>
      <c r="BC98" s="63"/>
      <c r="BD98" s="20">
        <f>1/((1+BD$3)^BB98)</f>
        <v>0.25673652792674101</v>
      </c>
      <c r="BE98" s="11">
        <f t="shared" si="468"/>
        <v>0</v>
      </c>
      <c r="BF98" s="11">
        <f t="shared" si="476"/>
        <v>0</v>
      </c>
      <c r="BG98" s="12">
        <f>BG$6</f>
        <v>0</v>
      </c>
      <c r="BH98" s="21">
        <f>IF(BH$3=BH$4,BB98,(1+BH$4)*(((1+BH$3)^BB98-(1+BH$4)^BB98)/((1+BH$3)^BB98*(BH$3-BH$4))))</f>
        <v>36.882797227919745</v>
      </c>
      <c r="BJ98" s="18">
        <f>BG98*BH98</f>
        <v>0</v>
      </c>
      <c r="BL98" s="527">
        <f t="shared" ref="BL98" si="645">BL$36</f>
        <v>0</v>
      </c>
      <c r="BM98" s="12">
        <f t="shared" ref="BM98" si="646">BF98+BJ98+BL98</f>
        <v>0</v>
      </c>
      <c r="BN98" s="517" t="e">
        <f t="shared" ref="BN98" si="647">BN$3/BM98*1000</f>
        <v>#DIV/0!</v>
      </c>
    </row>
    <row r="99" spans="1:66" x14ac:dyDescent="0.2">
      <c r="C99" s="63"/>
      <c r="D99" s="20"/>
      <c r="E99" s="11">
        <f t="shared" si="455"/>
        <v>0</v>
      </c>
      <c r="F99" s="11">
        <f t="shared" si="472"/>
        <v>0</v>
      </c>
      <c r="H99" s="20"/>
      <c r="L99" s="527"/>
      <c r="N99" s="517"/>
      <c r="P99" s="63"/>
      <c r="Q99" s="20"/>
      <c r="R99" s="11">
        <f t="shared" si="458"/>
        <v>0</v>
      </c>
      <c r="S99" s="11">
        <f t="shared" si="473"/>
        <v>0</v>
      </c>
      <c r="U99" s="21"/>
      <c r="Y99" s="527"/>
      <c r="AA99" s="517"/>
      <c r="AC99" s="63"/>
      <c r="AD99" s="20"/>
      <c r="AE99" s="11">
        <f t="shared" si="461"/>
        <v>0</v>
      </c>
      <c r="AF99" s="11">
        <f t="shared" si="474"/>
        <v>0</v>
      </c>
      <c r="AH99" s="20"/>
      <c r="AN99" s="517"/>
      <c r="AP99" s="63"/>
      <c r="AQ99" s="20"/>
      <c r="AR99" s="11">
        <f t="shared" si="464"/>
        <v>0</v>
      </c>
      <c r="AS99" s="11">
        <f t="shared" si="475"/>
        <v>0</v>
      </c>
      <c r="AU99" s="20"/>
      <c r="AY99" s="527"/>
      <c r="BA99" s="517"/>
      <c r="BC99" s="63"/>
      <c r="BD99" s="20"/>
      <c r="BE99" s="11">
        <f t="shared" si="468"/>
        <v>0</v>
      </c>
      <c r="BF99" s="11">
        <f t="shared" si="476"/>
        <v>0</v>
      </c>
      <c r="BH99" s="20"/>
      <c r="BL99" s="527"/>
      <c r="BN99" s="517"/>
    </row>
    <row r="100" spans="1:66" x14ac:dyDescent="0.2">
      <c r="A100" s="1">
        <f>A98+1</f>
        <v>2056</v>
      </c>
      <c r="B100" s="1">
        <f>B98+1</f>
        <v>47</v>
      </c>
      <c r="C100" s="63"/>
      <c r="D100" s="20">
        <f>1/((1+D$3)^B100)</f>
        <v>0.24925876497741845</v>
      </c>
      <c r="E100" s="11">
        <f t="shared" si="455"/>
        <v>0</v>
      </c>
      <c r="F100" s="11">
        <f t="shared" si="472"/>
        <v>0</v>
      </c>
      <c r="G100" s="12">
        <f>G$6</f>
        <v>0</v>
      </c>
      <c r="H100" s="20">
        <f>IF(H$3=H$4,B100,(1+H$4)*(((1+H$3)^B100-(1+H$4)^B100)/((1+H$3)^B100*(H$3-H$4))))</f>
        <v>37.5150030800759</v>
      </c>
      <c r="J100" s="18">
        <f>G100*H100</f>
        <v>0</v>
      </c>
      <c r="L100" s="527">
        <f t="shared" ref="L100" si="648">L$36</f>
        <v>0</v>
      </c>
      <c r="M100" s="12">
        <f t="shared" ref="M100" si="649">F100+J100+L100</f>
        <v>0</v>
      </c>
      <c r="N100" s="517" t="e">
        <f t="shared" si="479"/>
        <v>#DIV/0!</v>
      </c>
      <c r="O100" s="1">
        <f>O98+1</f>
        <v>47</v>
      </c>
      <c r="P100" s="63"/>
      <c r="Q100" s="20">
        <f>1/((1+Q$3)^O100)</f>
        <v>0.24925876497741845</v>
      </c>
      <c r="R100" s="11">
        <f t="shared" si="458"/>
        <v>0</v>
      </c>
      <c r="S100" s="11">
        <f t="shared" si="473"/>
        <v>0</v>
      </c>
      <c r="T100" s="12">
        <f>T$6</f>
        <v>0</v>
      </c>
      <c r="U100" s="21">
        <f>IF(U$3=U$4,O100,(1+U$4)*(((1+U$3)^O100-(1+U$4)^O100)/((1+U$3)^O100*(U$3-U$4))))</f>
        <v>37.5150030800759</v>
      </c>
      <c r="W100" s="18">
        <f>T100*U100</f>
        <v>0</v>
      </c>
      <c r="Y100" s="527">
        <f t="shared" ref="Y100" si="650">Y$36</f>
        <v>0</v>
      </c>
      <c r="Z100" s="12">
        <f t="shared" ref="Z100" si="651">S100+W100+Y100</f>
        <v>0</v>
      </c>
      <c r="AA100" s="517" t="e">
        <f t="shared" si="482"/>
        <v>#DIV/0!</v>
      </c>
      <c r="AB100" s="1">
        <f>AB98+1</f>
        <v>47</v>
      </c>
      <c r="AC100" s="63"/>
      <c r="AD100" s="20">
        <f>1/((1+AD$3)^AB100)</f>
        <v>0.24925876497741845</v>
      </c>
      <c r="AE100" s="11">
        <f t="shared" si="461"/>
        <v>0</v>
      </c>
      <c r="AF100" s="11">
        <f t="shared" si="474"/>
        <v>0</v>
      </c>
      <c r="AG100" s="12">
        <f>AG$6</f>
        <v>0</v>
      </c>
      <c r="AH100" s="21">
        <f>IF(AH$3=AH$4,AB100,(1+AH$4)*(((1+AH$3)^AB100-(1+AH$4)^AB100)/((1+AH$3)^AB100*(AH$3-AH$4))))</f>
        <v>37.5150030800759</v>
      </c>
      <c r="AJ100" s="18">
        <f>AG100*AH100</f>
        <v>0</v>
      </c>
      <c r="AL100" s="527">
        <f t="shared" ref="AL100" si="652">AL$36</f>
        <v>0</v>
      </c>
      <c r="AM100" s="12">
        <f t="shared" ref="AM100" si="653">AF100+AJ100+AL100</f>
        <v>0</v>
      </c>
      <c r="AN100" s="517" t="e">
        <f t="shared" si="485"/>
        <v>#DIV/0!</v>
      </c>
      <c r="AO100" s="1">
        <f>AO98+1</f>
        <v>47</v>
      </c>
      <c r="AP100" s="63"/>
      <c r="AQ100" s="20">
        <f>1/((1+AQ$3)^AO100)</f>
        <v>0.24925876497741845</v>
      </c>
      <c r="AR100" s="11">
        <f t="shared" si="464"/>
        <v>0</v>
      </c>
      <c r="AS100" s="11">
        <f t="shared" si="475"/>
        <v>0</v>
      </c>
      <c r="AT100" s="12">
        <f>AT$6</f>
        <v>0</v>
      </c>
      <c r="AU100" s="21">
        <f>IF(AU$3=AU$4,AO100,(1+AU$4)*(((1+AU$3)^AO100-(1+AU$4)^AO100)/((1+AU$3)^AO100*(AU$3-AU$4))))</f>
        <v>37.5150030800759</v>
      </c>
      <c r="AW100" s="18">
        <f>AT100*AU100</f>
        <v>0</v>
      </c>
      <c r="AY100" s="527">
        <f t="shared" ref="AY100" si="654">AY$36</f>
        <v>0</v>
      </c>
      <c r="AZ100" s="12">
        <f t="shared" ref="AZ100" si="655">AS100+AW100+AY100</f>
        <v>0</v>
      </c>
      <c r="BA100" s="517" t="e">
        <f t="shared" ref="BA100" si="656">BA$3/AZ100*1000</f>
        <v>#DIV/0!</v>
      </c>
      <c r="BB100" s="1">
        <f>BB98+1</f>
        <v>47</v>
      </c>
      <c r="BC100" s="63"/>
      <c r="BD100" s="20">
        <f>1/((1+BD$3)^BB100)</f>
        <v>0.24925876497741845</v>
      </c>
      <c r="BE100" s="11">
        <f t="shared" si="468"/>
        <v>0</v>
      </c>
      <c r="BF100" s="11">
        <f t="shared" si="476"/>
        <v>0</v>
      </c>
      <c r="BG100" s="12">
        <f>BG$6</f>
        <v>0</v>
      </c>
      <c r="BH100" s="21">
        <f>IF(BH$3=BH$4,BB100,(1+BH$4)*(((1+BH$3)^BB100-(1+BH$4)^BB100)/((1+BH$3)^BB100*(BH$3-BH$4))))</f>
        <v>37.5150030800759</v>
      </c>
      <c r="BJ100" s="18">
        <f>BG100*BH100</f>
        <v>0</v>
      </c>
      <c r="BL100" s="527">
        <f t="shared" ref="BL100" si="657">BL$36</f>
        <v>0</v>
      </c>
      <c r="BM100" s="12">
        <f t="shared" ref="BM100" si="658">BF100+BJ100+BL100</f>
        <v>0</v>
      </c>
      <c r="BN100" s="517" t="e">
        <f t="shared" ref="BN100" si="659">BN$3/BM100*1000</f>
        <v>#DIV/0!</v>
      </c>
    </row>
    <row r="101" spans="1:66" x14ac:dyDescent="0.2">
      <c r="C101" s="63"/>
      <c r="D101" s="20"/>
      <c r="E101" s="11">
        <f t="shared" si="455"/>
        <v>0</v>
      </c>
      <c r="F101" s="11">
        <f t="shared" si="472"/>
        <v>0</v>
      </c>
      <c r="H101" s="20"/>
      <c r="L101" s="527"/>
      <c r="N101" s="517"/>
      <c r="P101" s="63"/>
      <c r="Q101" s="20"/>
      <c r="R101" s="11">
        <f t="shared" si="458"/>
        <v>0</v>
      </c>
      <c r="S101" s="11">
        <f t="shared" si="473"/>
        <v>0</v>
      </c>
      <c r="U101" s="21"/>
      <c r="Y101" s="527"/>
      <c r="AA101" s="517"/>
      <c r="AC101" s="63"/>
      <c r="AD101" s="20"/>
      <c r="AE101" s="11">
        <f t="shared" si="461"/>
        <v>0</v>
      </c>
      <c r="AF101" s="11">
        <f t="shared" si="474"/>
        <v>0</v>
      </c>
      <c r="AH101" s="20"/>
      <c r="AN101" s="517"/>
      <c r="AP101" s="63"/>
      <c r="AQ101" s="20"/>
      <c r="AR101" s="11">
        <f t="shared" si="464"/>
        <v>0</v>
      </c>
      <c r="AS101" s="11">
        <f t="shared" si="475"/>
        <v>0</v>
      </c>
      <c r="AU101" s="20"/>
      <c r="AY101" s="527"/>
      <c r="BA101" s="517"/>
      <c r="BC101" s="63"/>
      <c r="BD101" s="20"/>
      <c r="BE101" s="11">
        <f t="shared" si="468"/>
        <v>0</v>
      </c>
      <c r="BF101" s="11">
        <f t="shared" si="476"/>
        <v>0</v>
      </c>
      <c r="BH101" s="20"/>
      <c r="BL101" s="527"/>
      <c r="BN101" s="517"/>
    </row>
    <row r="102" spans="1:66" x14ac:dyDescent="0.2">
      <c r="A102" s="1">
        <f>A100+1</f>
        <v>2057</v>
      </c>
      <c r="B102" s="1">
        <f>B100+1</f>
        <v>48</v>
      </c>
      <c r="C102" s="63"/>
      <c r="D102" s="20">
        <f>1/((1+D$3)^B102)</f>
        <v>0.24199880094894996</v>
      </c>
      <c r="E102" s="11">
        <f>C102*D102</f>
        <v>0</v>
      </c>
      <c r="F102" s="11">
        <f t="shared" si="472"/>
        <v>0</v>
      </c>
      <c r="G102" s="12">
        <f>G$6</f>
        <v>0</v>
      </c>
      <c r="H102" s="20">
        <f>IF(H$3=H$4,B102,(1+H$4)*(((1+H$3)^B102-(1+H$4)^B102)/((1+H$3)^B102*(H$3-H$4))))</f>
        <v>38.141071011337282</v>
      </c>
      <c r="J102" s="18">
        <f>G102*H102</f>
        <v>0</v>
      </c>
      <c r="L102" s="527">
        <f t="shared" ref="L102" si="660">L$36</f>
        <v>0</v>
      </c>
      <c r="M102" s="12">
        <f t="shared" ref="M102" si="661">F102+J102+L102</f>
        <v>0</v>
      </c>
      <c r="N102" s="517" t="e">
        <f t="shared" si="479"/>
        <v>#DIV/0!</v>
      </c>
      <c r="O102" s="1">
        <f>O100+1</f>
        <v>48</v>
      </c>
      <c r="P102" s="63"/>
      <c r="Q102" s="20">
        <f>1/((1+Q$3)^O102)</f>
        <v>0.24199880094894996</v>
      </c>
      <c r="R102" s="11">
        <f>P102*Q102</f>
        <v>0</v>
      </c>
      <c r="S102" s="11">
        <f t="shared" si="473"/>
        <v>0</v>
      </c>
      <c r="T102" s="12">
        <f>T$6</f>
        <v>0</v>
      </c>
      <c r="U102" s="21">
        <f>IF(U$3=U$4,O102,(1+U$4)*(((1+U$3)^O102-(1+U$4)^O102)/((1+U$3)^O102*(U$3-U$4))))</f>
        <v>38.141071011337282</v>
      </c>
      <c r="W102" s="18">
        <f>T102*U102</f>
        <v>0</v>
      </c>
      <c r="Y102" s="527">
        <f t="shared" ref="Y102" si="662">Y$36</f>
        <v>0</v>
      </c>
      <c r="Z102" s="12">
        <f t="shared" ref="Z102" si="663">S102+W102+Y102</f>
        <v>0</v>
      </c>
      <c r="AA102" s="517" t="e">
        <f t="shared" si="482"/>
        <v>#DIV/0!</v>
      </c>
      <c r="AB102" s="1">
        <f>AB100+1</f>
        <v>48</v>
      </c>
      <c r="AC102" s="63"/>
      <c r="AD102" s="20">
        <f>1/((1+AD$3)^AB102)</f>
        <v>0.24199880094894996</v>
      </c>
      <c r="AE102" s="11">
        <f>AC102*AD102</f>
        <v>0</v>
      </c>
      <c r="AF102" s="11">
        <f t="shared" si="474"/>
        <v>0</v>
      </c>
      <c r="AG102" s="12">
        <f>AG$6</f>
        <v>0</v>
      </c>
      <c r="AH102" s="21">
        <f>IF(AH$3=AH$4,AB102,(1+AH$4)*(((1+AH$3)^AB102-(1+AH$4)^AB102)/((1+AH$3)^AB102*(AH$3-AH$4))))</f>
        <v>38.141071011337282</v>
      </c>
      <c r="AJ102" s="18">
        <f>AG102*AH102</f>
        <v>0</v>
      </c>
      <c r="AL102" s="527">
        <f t="shared" ref="AL102" si="664">AL$36</f>
        <v>0</v>
      </c>
      <c r="AM102" s="12">
        <f t="shared" ref="AM102" si="665">AF102+AJ102+AL102</f>
        <v>0</v>
      </c>
      <c r="AN102" s="517" t="e">
        <f t="shared" si="485"/>
        <v>#DIV/0!</v>
      </c>
      <c r="AO102" s="1">
        <f>AO100+1</f>
        <v>48</v>
      </c>
      <c r="AP102" s="63"/>
      <c r="AQ102" s="20">
        <f>1/((1+AQ$3)^AO102)</f>
        <v>0.24199880094894996</v>
      </c>
      <c r="AR102" s="11">
        <f>AP102*AQ102</f>
        <v>0</v>
      </c>
      <c r="AS102" s="11">
        <f t="shared" si="475"/>
        <v>0</v>
      </c>
      <c r="AT102" s="12">
        <f>AT$6</f>
        <v>0</v>
      </c>
      <c r="AU102" s="21">
        <f>IF(AU$3=AU$4,AO102,(1+AU$4)*(((1+AU$3)^AO102-(1+AU$4)^AO102)/((1+AU$3)^AO102*(AU$3-AU$4))))</f>
        <v>38.141071011337282</v>
      </c>
      <c r="AW102" s="18">
        <f>AT102*AU102</f>
        <v>0</v>
      </c>
      <c r="AY102" s="527">
        <f t="shared" ref="AY102" si="666">AY$36</f>
        <v>0</v>
      </c>
      <c r="AZ102" s="12">
        <f t="shared" ref="AZ102" si="667">AS102+AW102+AY102</f>
        <v>0</v>
      </c>
      <c r="BA102" s="517" t="e">
        <f t="shared" ref="BA102" si="668">BA$3/AZ102*1000</f>
        <v>#DIV/0!</v>
      </c>
      <c r="BB102" s="1">
        <f>BB100+1</f>
        <v>48</v>
      </c>
      <c r="BC102" s="63"/>
      <c r="BD102" s="20">
        <f>1/((1+BD$3)^BB102)</f>
        <v>0.24199880094894996</v>
      </c>
      <c r="BE102" s="11">
        <f>BC102*BD102</f>
        <v>0</v>
      </c>
      <c r="BF102" s="11">
        <f t="shared" si="476"/>
        <v>0</v>
      </c>
      <c r="BG102" s="12">
        <f>BG$6</f>
        <v>0</v>
      </c>
      <c r="BH102" s="21">
        <f>IF(BH$3=BH$4,BB102,(1+BH$4)*(((1+BH$3)^BB102-(1+BH$4)^BB102)/((1+BH$3)^BB102*(BH$3-BH$4))))</f>
        <v>38.141071011337282</v>
      </c>
      <c r="BJ102" s="18">
        <f>BG102*BH102</f>
        <v>0</v>
      </c>
      <c r="BL102" s="527">
        <f t="shared" ref="BL102" si="669">BL$36</f>
        <v>0</v>
      </c>
      <c r="BM102" s="12">
        <f t="shared" ref="BM102" si="670">BF102+BJ102+BL102</f>
        <v>0</v>
      </c>
      <c r="BN102" s="517" t="e">
        <f t="shared" ref="BN102" si="671">BN$3/BM102*1000</f>
        <v>#DIV/0!</v>
      </c>
    </row>
    <row r="103" spans="1:66" x14ac:dyDescent="0.2">
      <c r="C103" s="63"/>
      <c r="D103" s="20"/>
      <c r="E103" s="11">
        <f>C103*D103</f>
        <v>0</v>
      </c>
      <c r="F103" s="11">
        <f>F102+E103</f>
        <v>0</v>
      </c>
      <c r="H103" s="20"/>
      <c r="L103" s="527"/>
      <c r="N103" s="517"/>
      <c r="P103" s="63"/>
      <c r="Q103" s="20"/>
      <c r="R103" s="11">
        <f>P103*Q103</f>
        <v>0</v>
      </c>
      <c r="S103" s="11">
        <f>S102+R103</f>
        <v>0</v>
      </c>
      <c r="U103" s="21"/>
      <c r="Y103" s="527"/>
      <c r="AA103" s="517"/>
      <c r="AC103" s="63"/>
      <c r="AD103" s="20"/>
      <c r="AE103" s="11">
        <f>AC103*AD103</f>
        <v>0</v>
      </c>
      <c r="AF103" s="11">
        <f>AF102+AE103</f>
        <v>0</v>
      </c>
      <c r="AH103" s="20"/>
      <c r="AN103" s="517"/>
      <c r="AP103" s="63"/>
      <c r="AQ103" s="20"/>
      <c r="AR103" s="11">
        <f>AP103*AQ103</f>
        <v>0</v>
      </c>
      <c r="AS103" s="11">
        <f>AS102+AR103</f>
        <v>0</v>
      </c>
      <c r="AU103" s="20"/>
      <c r="AY103" s="527"/>
      <c r="BA103" s="517"/>
      <c r="BC103" s="63"/>
      <c r="BD103" s="20"/>
      <c r="BE103" s="11">
        <f>BC103*BD103</f>
        <v>0</v>
      </c>
      <c r="BF103" s="11">
        <f>BF102+BE103</f>
        <v>0</v>
      </c>
      <c r="BH103" s="20"/>
      <c r="BL103" s="527"/>
      <c r="BN103" s="517"/>
    </row>
    <row r="104" spans="1:66" x14ac:dyDescent="0.2">
      <c r="A104" s="1">
        <f>A102+1</f>
        <v>2058</v>
      </c>
      <c r="B104" s="1">
        <f>B102+1</f>
        <v>49</v>
      </c>
      <c r="C104" s="63"/>
      <c r="D104" s="20">
        <f>1/((1+D$3)^B104)</f>
        <v>0.2349502921834466</v>
      </c>
      <c r="E104" s="11">
        <f>C104*D104</f>
        <v>0</v>
      </c>
      <c r="F104" s="11">
        <f>F103+E104</f>
        <v>0</v>
      </c>
      <c r="G104" s="12">
        <f>G$6</f>
        <v>0</v>
      </c>
      <c r="H104" s="20">
        <f>IF(H$3=H$4,B104,(1+H$4)*(((1+H$3)^B104-(1+H$4)^B104)/((1+H$3)^B104*(H$3-H$4))))</f>
        <v>38.761060613168944</v>
      </c>
      <c r="J104" s="18">
        <f>G104*H104</f>
        <v>0</v>
      </c>
      <c r="L104" s="527">
        <f t="shared" ref="L104" si="672">L$36</f>
        <v>0</v>
      </c>
      <c r="M104" s="12">
        <f t="shared" ref="M104" si="673">F104+J104+L104</f>
        <v>0</v>
      </c>
      <c r="N104" s="517" t="e">
        <f t="shared" si="479"/>
        <v>#DIV/0!</v>
      </c>
      <c r="O104" s="1">
        <f>O102+1</f>
        <v>49</v>
      </c>
      <c r="P104" s="63"/>
      <c r="Q104" s="20">
        <f>1/((1+Q$3)^O104)</f>
        <v>0.2349502921834466</v>
      </c>
      <c r="R104" s="11">
        <f>P104*Q104</f>
        <v>0</v>
      </c>
      <c r="S104" s="11">
        <f>S103+R104</f>
        <v>0</v>
      </c>
      <c r="T104" s="12">
        <f>T$6</f>
        <v>0</v>
      </c>
      <c r="U104" s="21">
        <f>IF(U$3=U$4,O104,(1+U$4)*(((1+U$3)^O104-(1+U$4)^O104)/((1+U$3)^O104*(U$3-U$4))))</f>
        <v>38.761060613168944</v>
      </c>
      <c r="W104" s="18">
        <f>T104*U104</f>
        <v>0</v>
      </c>
      <c r="Y104" s="527">
        <f t="shared" ref="Y104" si="674">Y$36</f>
        <v>0</v>
      </c>
      <c r="Z104" s="12">
        <f t="shared" ref="Z104" si="675">S104+W104+Y104</f>
        <v>0</v>
      </c>
      <c r="AA104" s="517" t="e">
        <f t="shared" si="482"/>
        <v>#DIV/0!</v>
      </c>
      <c r="AB104" s="1">
        <f>AB102+1</f>
        <v>49</v>
      </c>
      <c r="AC104" s="63"/>
      <c r="AD104" s="20">
        <f>1/((1+AD$3)^AB104)</f>
        <v>0.2349502921834466</v>
      </c>
      <c r="AE104" s="11">
        <f>AC104*AD104</f>
        <v>0</v>
      </c>
      <c r="AF104" s="11">
        <f>AF103+AE104</f>
        <v>0</v>
      </c>
      <c r="AG104" s="12">
        <f>AG$6</f>
        <v>0</v>
      </c>
      <c r="AH104" s="21">
        <f>IF(AH$3=AH$4,AB104,(1+AH$4)*(((1+AH$3)^AB104-(1+AH$4)^AB104)/((1+AH$3)^AB104*(AH$3-AH$4))))</f>
        <v>38.761060613168944</v>
      </c>
      <c r="AJ104" s="18">
        <f>AG104*AH104</f>
        <v>0</v>
      </c>
      <c r="AL104" s="527">
        <f t="shared" ref="AL104" si="676">AL$36</f>
        <v>0</v>
      </c>
      <c r="AM104" s="12">
        <f t="shared" ref="AM104" si="677">AF104+AJ104+AL104</f>
        <v>0</v>
      </c>
      <c r="AN104" s="517" t="e">
        <f t="shared" si="485"/>
        <v>#DIV/0!</v>
      </c>
      <c r="AO104" s="1">
        <f>AO102+1</f>
        <v>49</v>
      </c>
      <c r="AP104" s="63"/>
      <c r="AQ104" s="20">
        <f>1/((1+AQ$3)^AO104)</f>
        <v>0.2349502921834466</v>
      </c>
      <c r="AR104" s="11">
        <f>AP104*AQ104</f>
        <v>0</v>
      </c>
      <c r="AS104" s="11">
        <f>AS103+AR104</f>
        <v>0</v>
      </c>
      <c r="AT104" s="12">
        <f>AT$6</f>
        <v>0</v>
      </c>
      <c r="AU104" s="21">
        <f>IF(AU$3=AU$4,AO104,(1+AU$4)*(((1+AU$3)^AO104-(1+AU$4)^AO104)/((1+AU$3)^AO104*(AU$3-AU$4))))</f>
        <v>38.761060613168944</v>
      </c>
      <c r="AW104" s="18">
        <f>AT104*AU104</f>
        <v>0</v>
      </c>
      <c r="AY104" s="527">
        <f t="shared" ref="AY104" si="678">AY$36</f>
        <v>0</v>
      </c>
      <c r="AZ104" s="12">
        <f t="shared" ref="AZ104" si="679">AS104+AW104+AY104</f>
        <v>0</v>
      </c>
      <c r="BA104" s="517" t="e">
        <f t="shared" ref="BA104" si="680">BA$3/AZ104*1000</f>
        <v>#DIV/0!</v>
      </c>
      <c r="BB104" s="1">
        <f>BB102+1</f>
        <v>49</v>
      </c>
      <c r="BC104" s="63"/>
      <c r="BD104" s="20">
        <f>1/((1+BD$3)^BB104)</f>
        <v>0.2349502921834466</v>
      </c>
      <c r="BE104" s="11">
        <f>BC104*BD104</f>
        <v>0</v>
      </c>
      <c r="BF104" s="11">
        <f>BF103+BE104</f>
        <v>0</v>
      </c>
      <c r="BG104" s="12">
        <f>BG$6</f>
        <v>0</v>
      </c>
      <c r="BH104" s="21">
        <f>IF(BH$3=BH$4,BB104,(1+BH$4)*(((1+BH$3)^BB104-(1+BH$4)^BB104)/((1+BH$3)^BB104*(BH$3-BH$4))))</f>
        <v>38.761060613168944</v>
      </c>
      <c r="BJ104" s="18">
        <f>BG104*BH104</f>
        <v>0</v>
      </c>
      <c r="BL104" s="527">
        <f t="shared" ref="BL104" si="681">BL$36</f>
        <v>0</v>
      </c>
      <c r="BM104" s="12">
        <f t="shared" ref="BM104" si="682">BF104+BJ104+BL104</f>
        <v>0</v>
      </c>
      <c r="BN104" s="517" t="e">
        <f t="shared" ref="BN104" si="683">BN$3/BM104*1000</f>
        <v>#DIV/0!</v>
      </c>
    </row>
    <row r="105" spans="1:66" x14ac:dyDescent="0.2">
      <c r="C105" s="63"/>
      <c r="D105" s="20"/>
      <c r="E105" s="11">
        <f>C105*D105</f>
        <v>0</v>
      </c>
      <c r="F105" s="11">
        <f>F104+E105</f>
        <v>0</v>
      </c>
      <c r="H105" s="20"/>
      <c r="L105" s="527"/>
      <c r="N105" s="517"/>
      <c r="P105" s="63"/>
      <c r="Q105" s="20"/>
      <c r="R105" s="11">
        <f>P105*Q105</f>
        <v>0</v>
      </c>
      <c r="S105" s="11">
        <f>S104+R105</f>
        <v>0</v>
      </c>
      <c r="U105" s="21"/>
      <c r="Y105" s="527"/>
      <c r="AA105" s="517"/>
      <c r="AC105" s="63"/>
      <c r="AD105" s="20"/>
      <c r="AE105" s="11">
        <f>AC105*AD105</f>
        <v>0</v>
      </c>
      <c r="AF105" s="11">
        <f>AF104+AE105</f>
        <v>0</v>
      </c>
      <c r="AH105" s="20"/>
      <c r="AN105" s="517"/>
      <c r="AP105" s="63"/>
      <c r="AQ105" s="20"/>
      <c r="AR105" s="11">
        <f>AP105*AQ105</f>
        <v>0</v>
      </c>
      <c r="AS105" s="11">
        <f>AS104+AR105</f>
        <v>0</v>
      </c>
      <c r="AU105" s="20"/>
      <c r="AY105" s="527"/>
      <c r="BA105" s="517"/>
      <c r="BC105" s="63"/>
      <c r="BD105" s="20"/>
      <c r="BE105" s="11">
        <f>BC105*BD105</f>
        <v>0</v>
      </c>
      <c r="BF105" s="11">
        <f>BF104+BE105</f>
        <v>0</v>
      </c>
      <c r="BH105" s="20"/>
      <c r="BL105" s="527"/>
      <c r="BN105" s="517"/>
    </row>
    <row r="106" spans="1:66" x14ac:dyDescent="0.2">
      <c r="A106" s="22">
        <f>A104+1</f>
        <v>2059</v>
      </c>
      <c r="B106" s="1">
        <f>B104+1</f>
        <v>50</v>
      </c>
      <c r="C106" s="63"/>
      <c r="D106" s="20">
        <f>1/((1+D$3)^B106)</f>
        <v>0.22810707978975397</v>
      </c>
      <c r="E106" s="11">
        <f>C106*D106</f>
        <v>0</v>
      </c>
      <c r="F106" s="11">
        <f>F105+E106</f>
        <v>0</v>
      </c>
      <c r="G106" s="12">
        <f>G$6</f>
        <v>0</v>
      </c>
      <c r="H106" s="20">
        <f>IF(H$3=H$4,B106,(1+H$4)*(((1+H$3)^B106-(1+H$4)^B106)/((1+H$3)^B106*(H$3-H$4))))</f>
        <v>39.375030898477981</v>
      </c>
      <c r="J106" s="18">
        <f>G106*H106</f>
        <v>0</v>
      </c>
      <c r="L106" s="527">
        <f t="shared" ref="L106" si="684">L$36</f>
        <v>0</v>
      </c>
      <c r="M106" s="25">
        <f t="shared" ref="M106" si="685">F106+J106+L106</f>
        <v>0</v>
      </c>
      <c r="N106" s="517" t="e">
        <f t="shared" si="479"/>
        <v>#DIV/0!</v>
      </c>
      <c r="O106" s="1">
        <f>O104+1</f>
        <v>50</v>
      </c>
      <c r="P106" s="63"/>
      <c r="Q106" s="20">
        <f>1/((1+Q$3)^O106)</f>
        <v>0.22810707978975397</v>
      </c>
      <c r="R106" s="11">
        <f>P106*Q106</f>
        <v>0</v>
      </c>
      <c r="S106" s="11">
        <f>S105+R106</f>
        <v>0</v>
      </c>
      <c r="T106" s="12">
        <f>T$6</f>
        <v>0</v>
      </c>
      <c r="U106" s="21">
        <f>IF(U$3=U$4,O106,(1+U$4)*(((1+U$3)^O106-(1+U$4)^O106)/((1+U$3)^O106*(U$3-U$4))))</f>
        <v>39.375030898477981</v>
      </c>
      <c r="W106" s="18">
        <f>T106*U106</f>
        <v>0</v>
      </c>
      <c r="Y106" s="527">
        <f t="shared" ref="Y106" si="686">Y$36</f>
        <v>0</v>
      </c>
      <c r="Z106" s="25">
        <f t="shared" ref="Z106" si="687">S106+W106+Y106</f>
        <v>0</v>
      </c>
      <c r="AA106" s="517" t="e">
        <f t="shared" si="482"/>
        <v>#DIV/0!</v>
      </c>
      <c r="AB106" s="1">
        <f>AB104+1</f>
        <v>50</v>
      </c>
      <c r="AC106" s="63"/>
      <c r="AD106" s="20">
        <f>1/((1+AD$3)^AB106)</f>
        <v>0.22810707978975397</v>
      </c>
      <c r="AE106" s="11">
        <f>AC106*AD106</f>
        <v>0</v>
      </c>
      <c r="AF106" s="11">
        <f>AF105+AE106</f>
        <v>0</v>
      </c>
      <c r="AG106" s="12">
        <f>AG$6</f>
        <v>0</v>
      </c>
      <c r="AH106" s="21">
        <f>IF(AH$3=AH$4,AB106,(1+AH$4)*(((1+AH$3)^AB106-(1+AH$4)^AB106)/((1+AH$3)^AB106*(AH$3-AH$4))))</f>
        <v>39.375030898477981</v>
      </c>
      <c r="AJ106" s="18">
        <f>AG106*AH106</f>
        <v>0</v>
      </c>
      <c r="AL106" s="527">
        <f t="shared" ref="AL106" si="688">AL$36</f>
        <v>0</v>
      </c>
      <c r="AM106" s="12">
        <f t="shared" ref="AM106" si="689">AF106+AJ106+AL106</f>
        <v>0</v>
      </c>
      <c r="AN106" s="517" t="e">
        <f t="shared" si="485"/>
        <v>#DIV/0!</v>
      </c>
      <c r="AO106" s="1">
        <f>AO104+1</f>
        <v>50</v>
      </c>
      <c r="AP106" s="63"/>
      <c r="AQ106" s="20">
        <f>1/((1+AQ$3)^AO106)</f>
        <v>0.22810707978975397</v>
      </c>
      <c r="AR106" s="11">
        <f>AP106*AQ106</f>
        <v>0</v>
      </c>
      <c r="AS106" s="11">
        <f>AS105+AR106</f>
        <v>0</v>
      </c>
      <c r="AT106" s="12">
        <f>AT$6</f>
        <v>0</v>
      </c>
      <c r="AU106" s="21">
        <f>IF(AU$3=AU$4,AO106,(1+AU$4)*(((1+AU$3)^AO106-(1+AU$4)^AO106)/((1+AU$3)^AO106*(AU$3-AU$4))))</f>
        <v>39.375030898477981</v>
      </c>
      <c r="AW106" s="18">
        <f>AT106*AU106</f>
        <v>0</v>
      </c>
      <c r="AY106" s="527">
        <f t="shared" ref="AY106" si="690">AY$36</f>
        <v>0</v>
      </c>
      <c r="AZ106" s="25">
        <f t="shared" ref="AZ106" si="691">AS106+AW106+AY106</f>
        <v>0</v>
      </c>
      <c r="BA106" s="517" t="e">
        <f t="shared" ref="BA106" si="692">BA$3/AZ106*1000</f>
        <v>#DIV/0!</v>
      </c>
      <c r="BB106" s="1">
        <f>BB104+1</f>
        <v>50</v>
      </c>
      <c r="BC106" s="63"/>
      <c r="BD106" s="20">
        <f>1/((1+BD$3)^BB106)</f>
        <v>0.22810707978975397</v>
      </c>
      <c r="BE106" s="11">
        <f>BC106*BD106</f>
        <v>0</v>
      </c>
      <c r="BF106" s="11">
        <f>BF105+BE106</f>
        <v>0</v>
      </c>
      <c r="BG106" s="12">
        <f>BG$6</f>
        <v>0</v>
      </c>
      <c r="BH106" s="21">
        <f>IF(BH$3=BH$4,BB106,(1+BH$4)*(((1+BH$3)^BB106-(1+BH$4)^BB106)/((1+BH$3)^BB106*(BH$3-BH$4))))</f>
        <v>39.375030898477981</v>
      </c>
      <c r="BJ106" s="18">
        <f>BG106*BH106</f>
        <v>0</v>
      </c>
      <c r="BL106" s="527">
        <f t="shared" ref="BL106" si="693">BL$36</f>
        <v>0</v>
      </c>
      <c r="BM106" s="12">
        <f t="shared" ref="BM106" si="694">BF106+BJ106+BL106</f>
        <v>0</v>
      </c>
      <c r="BN106" s="517" t="e">
        <f t="shared" ref="BN106" si="695">BN$3/BM106*1000</f>
        <v>#DIV/0!</v>
      </c>
    </row>
    <row r="107" spans="1:66" x14ac:dyDescent="0.2">
      <c r="H107" s="20"/>
      <c r="AH107" s="20"/>
      <c r="AU107" s="20"/>
      <c r="BH107" s="20"/>
    </row>
    <row r="108" spans="1:66" x14ac:dyDescent="0.2">
      <c r="H108" s="20"/>
      <c r="Z108" s="26"/>
      <c r="AA108" s="521"/>
      <c r="AH108" s="20"/>
      <c r="AU108" s="20"/>
      <c r="BH108" s="20"/>
    </row>
    <row r="109" spans="1:66" s="526" customFormat="1" x14ac:dyDescent="0.2">
      <c r="A109" s="526" t="s">
        <v>256</v>
      </c>
      <c r="C109" s="527"/>
      <c r="D109" s="527"/>
      <c r="E109" s="527"/>
      <c r="F109" s="527"/>
      <c r="G109" s="528"/>
      <c r="H109" s="529"/>
      <c r="I109" s="527"/>
      <c r="J109" s="530"/>
      <c r="K109" s="527"/>
      <c r="L109" s="527"/>
      <c r="M109" s="528">
        <f>'Kosten Variante1'!W73</f>
        <v>0</v>
      </c>
      <c r="N109" s="531"/>
      <c r="P109" s="527"/>
      <c r="Q109" s="527"/>
      <c r="R109" s="527"/>
      <c r="S109" s="527"/>
      <c r="T109" s="528"/>
      <c r="U109" s="527"/>
      <c r="V109" s="527"/>
      <c r="W109" s="530"/>
      <c r="X109" s="527"/>
      <c r="Y109" s="527"/>
      <c r="Z109" s="528">
        <f>'Kosten Variante2'!W73</f>
        <v>0</v>
      </c>
      <c r="AA109" s="531"/>
      <c r="AC109" s="527"/>
      <c r="AD109" s="527"/>
      <c r="AE109" s="527"/>
      <c r="AF109" s="527"/>
      <c r="AG109" s="528"/>
      <c r="AH109" s="529"/>
      <c r="AI109" s="527"/>
      <c r="AJ109" s="530"/>
      <c r="AK109" s="527"/>
      <c r="AL109" s="527"/>
      <c r="AM109" s="528">
        <f>'Kosten Variante3'!W73</f>
        <v>0</v>
      </c>
      <c r="AN109" s="531"/>
      <c r="AP109" s="527"/>
      <c r="AQ109" s="527"/>
      <c r="AR109" s="527"/>
      <c r="AS109" s="527"/>
      <c r="AT109" s="528"/>
      <c r="AU109" s="529"/>
      <c r="AV109" s="527"/>
      <c r="AW109" s="530"/>
      <c r="AX109" s="527"/>
      <c r="AY109" s="527"/>
      <c r="AZ109" s="528">
        <f>'Kosten Variante4'!W73</f>
        <v>0</v>
      </c>
      <c r="BA109" s="531"/>
      <c r="BC109" s="527"/>
      <c r="BD109" s="527"/>
      <c r="BE109" s="527"/>
      <c r="BF109" s="527"/>
      <c r="BG109" s="528"/>
      <c r="BH109" s="529"/>
      <c r="BI109" s="527"/>
      <c r="BJ109" s="530"/>
      <c r="BK109" s="527"/>
      <c r="BL109" s="527"/>
      <c r="BM109" s="528">
        <f>'Kosten Variante5'!W73</f>
        <v>0</v>
      </c>
      <c r="BN109" s="531"/>
    </row>
    <row r="110" spans="1:66" s="526" customFormat="1" x14ac:dyDescent="0.2">
      <c r="A110" s="526" t="s">
        <v>257</v>
      </c>
      <c r="C110" s="527"/>
      <c r="D110" s="527"/>
      <c r="E110" s="527"/>
      <c r="F110" s="527"/>
      <c r="G110" s="528"/>
      <c r="H110" s="529"/>
      <c r="I110" s="527"/>
      <c r="J110" s="530"/>
      <c r="K110" s="527"/>
      <c r="L110" s="527"/>
      <c r="M110" s="528">
        <f>M106-M109</f>
        <v>0</v>
      </c>
      <c r="N110" s="531"/>
      <c r="P110" s="527"/>
      <c r="Q110" s="527"/>
      <c r="R110" s="527"/>
      <c r="S110" s="527"/>
      <c r="T110" s="528"/>
      <c r="U110" s="527"/>
      <c r="V110" s="527"/>
      <c r="W110" s="530"/>
      <c r="X110" s="527"/>
      <c r="Y110" s="527"/>
      <c r="Z110" s="528">
        <f>Z106-Z109</f>
        <v>0</v>
      </c>
      <c r="AA110" s="531"/>
      <c r="AC110" s="527"/>
      <c r="AD110" s="527"/>
      <c r="AE110" s="527"/>
      <c r="AF110" s="527"/>
      <c r="AG110" s="528"/>
      <c r="AH110" s="529"/>
      <c r="AI110" s="527"/>
      <c r="AJ110" s="530"/>
      <c r="AK110" s="527"/>
      <c r="AL110" s="527"/>
      <c r="AM110" s="528">
        <f>AM106-AM109</f>
        <v>0</v>
      </c>
      <c r="AN110" s="531"/>
      <c r="AP110" s="527"/>
      <c r="AQ110" s="527"/>
      <c r="AR110" s="527"/>
      <c r="AS110" s="527"/>
      <c r="AT110" s="528"/>
      <c r="AU110" s="529"/>
      <c r="AV110" s="527"/>
      <c r="AW110" s="530"/>
      <c r="AX110" s="527"/>
      <c r="AY110" s="527"/>
      <c r="AZ110" s="528">
        <f>AZ106-AZ109</f>
        <v>0</v>
      </c>
      <c r="BA110" s="531"/>
      <c r="BC110" s="527"/>
      <c r="BD110" s="527"/>
      <c r="BE110" s="527"/>
      <c r="BF110" s="527"/>
      <c r="BG110" s="528"/>
      <c r="BH110" s="529"/>
      <c r="BI110" s="527"/>
      <c r="BJ110" s="530"/>
      <c r="BK110" s="527"/>
      <c r="BL110" s="527"/>
      <c r="BM110" s="528">
        <f>BM106-BM109</f>
        <v>0</v>
      </c>
      <c r="BN110" s="531"/>
    </row>
    <row r="111" spans="1:66" x14ac:dyDescent="0.2">
      <c r="H111" s="20"/>
      <c r="Z111" s="26"/>
      <c r="AA111" s="521"/>
      <c r="AH111" s="20"/>
      <c r="AU111" s="20"/>
      <c r="BH111" s="20"/>
    </row>
    <row r="112" spans="1:66" x14ac:dyDescent="0.2">
      <c r="H112" s="20"/>
      <c r="AH112" s="20"/>
      <c r="AU112" s="20"/>
      <c r="BH112" s="20"/>
    </row>
    <row r="113" spans="8:60" x14ac:dyDescent="0.2">
      <c r="H113" s="20"/>
      <c r="AH113" s="20"/>
      <c r="AU113" s="20"/>
      <c r="BH113" s="20"/>
    </row>
    <row r="114" spans="8:60" x14ac:dyDescent="0.2">
      <c r="H114" s="20"/>
      <c r="Z114" s="26"/>
      <c r="AA114" s="521"/>
      <c r="AH114" s="20"/>
      <c r="AU114" s="20"/>
      <c r="BH114" s="20"/>
    </row>
    <row r="115" spans="8:60" x14ac:dyDescent="0.2">
      <c r="H115" s="20"/>
      <c r="AH115" s="20"/>
      <c r="AU115" s="20"/>
      <c r="BH115" s="20"/>
    </row>
    <row r="116" spans="8:60" x14ac:dyDescent="0.2">
      <c r="H116" s="20"/>
      <c r="AH116" s="20"/>
      <c r="AU116" s="20"/>
      <c r="BH116" s="20"/>
    </row>
    <row r="117" spans="8:60" x14ac:dyDescent="0.2">
      <c r="H117" s="20"/>
      <c r="Z117" s="26"/>
      <c r="AA117" s="521"/>
      <c r="AH117" s="20"/>
      <c r="AU117" s="20"/>
      <c r="BH117" s="20"/>
    </row>
    <row r="118" spans="8:60" x14ac:dyDescent="0.2">
      <c r="H118" s="20"/>
      <c r="AH118" s="20"/>
      <c r="AU118" s="20"/>
      <c r="BH118" s="20"/>
    </row>
    <row r="119" spans="8:60" x14ac:dyDescent="0.2">
      <c r="H119" s="20"/>
      <c r="AH119" s="20"/>
      <c r="AU119" s="20"/>
      <c r="BH119" s="20"/>
    </row>
    <row r="120" spans="8:60" x14ac:dyDescent="0.2">
      <c r="H120" s="20"/>
      <c r="AH120" s="20"/>
      <c r="AU120" s="20"/>
      <c r="BH120" s="20"/>
    </row>
    <row r="121" spans="8:60" x14ac:dyDescent="0.2">
      <c r="H121" s="20"/>
      <c r="AH121" s="20"/>
      <c r="AU121" s="20"/>
      <c r="BH121" s="20"/>
    </row>
    <row r="122" spans="8:60" x14ac:dyDescent="0.2">
      <c r="H122" s="20"/>
      <c r="AH122" s="20"/>
      <c r="AU122" s="20"/>
      <c r="BH122" s="20"/>
    </row>
    <row r="123" spans="8:60" x14ac:dyDescent="0.2">
      <c r="H123" s="20"/>
      <c r="AH123" s="20"/>
      <c r="AU123" s="20"/>
      <c r="BH123" s="20"/>
    </row>
    <row r="124" spans="8:60" x14ac:dyDescent="0.2">
      <c r="H124" s="20"/>
      <c r="AH124" s="20"/>
      <c r="AU124" s="20"/>
      <c r="BH124" s="20"/>
    </row>
    <row r="125" spans="8:60" x14ac:dyDescent="0.2">
      <c r="H125" s="20"/>
      <c r="AH125" s="20"/>
      <c r="AU125" s="20"/>
      <c r="BH125" s="20"/>
    </row>
    <row r="126" spans="8:60" x14ac:dyDescent="0.2">
      <c r="H126" s="20"/>
      <c r="AH126" s="20"/>
      <c r="AU126" s="20"/>
      <c r="BH126" s="20"/>
    </row>
    <row r="127" spans="8:60" x14ac:dyDescent="0.2">
      <c r="H127" s="20"/>
      <c r="AH127" s="20"/>
      <c r="AU127" s="20"/>
      <c r="BH127" s="20"/>
    </row>
  </sheetData>
  <sheetProtection algorithmName="SHA-512" hashValue="/qvH6pbODGbqSiNqTpCUGCdHG8FR8ulRGENBJOIdbvayzliPKwJXvDrAPPU/9RMWe7QGJzG6vA621bITjukVsA==" saltValue="b6Z+yqcm+ca5GwOcZ6zC9A==" spinCount="100000" sheet="1" autoFilter="0"/>
  <autoFilter ref="A5:AN127" xr:uid="{00000000-0009-0000-0000-000012000000}"/>
  <phoneticPr fontId="12" type="noConversion"/>
  <pageMargins left="0.5" right="0.28999999999999998" top="0.59055118110236227" bottom="0.59" header="0.39370078740157483" footer="0.46"/>
  <pageSetup paperSize="9" scale="23" orientation="landscape" horizontalDpi="4294967293" verticalDpi="1200" r:id="rId1"/>
  <headerFooter alignWithMargins="0">
    <oddFooter>&amp;L&amp;6&amp;F   &amp;A   &amp;D</oddFooter>
  </headerFooter>
  <rowBreaks count="1" manualBreakCount="1">
    <brk id="10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118" r:id="rId4" name="Button 46">
              <controlPr defaultSize="0" print="0" autoFill="0" autoPict="0" macro="[0]!Zum_Ergebnis">
                <anchor moveWithCells="1" sizeWithCells="1">
                  <from>
                    <xdr:col>7</xdr:col>
                    <xdr:colOff>342900</xdr:colOff>
                    <xdr:row>28</xdr:row>
                    <xdr:rowOff>66675</xdr:rowOff>
                  </from>
                  <to>
                    <xdr:col>20</xdr:col>
                    <xdr:colOff>533400</xdr:colOff>
                    <xdr:row>46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indexed="22"/>
    <pageSetUpPr autoPageBreaks="0" fitToPage="1"/>
  </sheetPr>
  <dimension ref="A1:B72"/>
  <sheetViews>
    <sheetView showGridLines="0" zoomScaleNormal="100" workbookViewId="0">
      <pane ySplit="2" topLeftCell="A3" activePane="bottomLeft" state="frozen"/>
      <selection activeCell="C7" sqref="C7"/>
      <selection pane="bottomLeft" activeCell="B10" sqref="B10"/>
    </sheetView>
  </sheetViews>
  <sheetFormatPr baseColWidth="10" defaultColWidth="11" defaultRowHeight="14.25" x14ac:dyDescent="0.2"/>
  <cols>
    <col min="1" max="1" width="10.625" style="36" customWidth="1"/>
    <col min="2" max="2" width="155.5" style="101" customWidth="1"/>
    <col min="3" max="16384" width="11" style="33"/>
  </cols>
  <sheetData>
    <row r="1" spans="1:2" ht="20.25" x14ac:dyDescent="0.2">
      <c r="A1" s="113" t="s">
        <v>101</v>
      </c>
    </row>
    <row r="4" spans="1:2" s="110" customFormat="1" ht="14.25" customHeight="1" x14ac:dyDescent="0.2">
      <c r="A4" s="108">
        <v>1</v>
      </c>
      <c r="B4" s="109" t="s">
        <v>272</v>
      </c>
    </row>
    <row r="5" spans="1:2" ht="14.25" customHeight="1" x14ac:dyDescent="0.2">
      <c r="B5" s="102"/>
    </row>
    <row r="6" spans="1:2" ht="14.25" customHeight="1" x14ac:dyDescent="0.2">
      <c r="B6" s="103" t="s">
        <v>102</v>
      </c>
    </row>
    <row r="7" spans="1:2" ht="14.25" customHeight="1" x14ac:dyDescent="0.2">
      <c r="B7" s="103" t="s">
        <v>103</v>
      </c>
    </row>
    <row r="8" spans="1:2" ht="14.25" customHeight="1" x14ac:dyDescent="0.2">
      <c r="B8" s="103" t="s">
        <v>104</v>
      </c>
    </row>
    <row r="9" spans="1:2" ht="14.25" customHeight="1" x14ac:dyDescent="0.2">
      <c r="B9" s="102" t="s">
        <v>105</v>
      </c>
    </row>
    <row r="10" spans="1:2" ht="14.25" customHeight="1" x14ac:dyDescent="0.2">
      <c r="B10" s="102" t="s">
        <v>106</v>
      </c>
    </row>
    <row r="11" spans="1:2" ht="14.25" customHeight="1" x14ac:dyDescent="0.2">
      <c r="B11" s="587" t="s">
        <v>273</v>
      </c>
    </row>
    <row r="12" spans="1:2" ht="14.25" customHeight="1" x14ac:dyDescent="0.2">
      <c r="B12" s="587" t="s">
        <v>274</v>
      </c>
    </row>
    <row r="13" spans="1:2" ht="14.25" customHeight="1" x14ac:dyDescent="0.2"/>
    <row r="14" spans="1:2" ht="14.25" customHeight="1" x14ac:dyDescent="0.2">
      <c r="B14" s="587" t="s">
        <v>278</v>
      </c>
    </row>
    <row r="15" spans="1:2" ht="14.25" customHeight="1" x14ac:dyDescent="0.2"/>
    <row r="16" spans="1:2" ht="14.25" customHeight="1" x14ac:dyDescent="0.2">
      <c r="B16" s="101" t="s">
        <v>78</v>
      </c>
    </row>
    <row r="17" spans="1:2" ht="14.25" customHeight="1" x14ac:dyDescent="0.2">
      <c r="B17" s="588" t="s">
        <v>275</v>
      </c>
    </row>
    <row r="18" spans="1:2" ht="14.25" customHeight="1" x14ac:dyDescent="0.2">
      <c r="B18" s="282" t="s">
        <v>79</v>
      </c>
    </row>
    <row r="19" spans="1:2" ht="33.75" customHeight="1" x14ac:dyDescent="0.2"/>
    <row r="20" spans="1:2" s="110" customFormat="1" ht="14.25" customHeight="1" x14ac:dyDescent="0.2">
      <c r="A20" s="108">
        <v>2</v>
      </c>
      <c r="B20" s="109" t="s">
        <v>107</v>
      </c>
    </row>
    <row r="21" spans="1:2" ht="14.25" customHeight="1" x14ac:dyDescent="0.2"/>
    <row r="22" spans="1:2" ht="14.25" customHeight="1" x14ac:dyDescent="0.2">
      <c r="B22" s="101" t="s">
        <v>108</v>
      </c>
    </row>
    <row r="23" spans="1:2" ht="14.25" customHeight="1" x14ac:dyDescent="0.2">
      <c r="B23" s="101" t="s">
        <v>109</v>
      </c>
    </row>
    <row r="24" spans="1:2" ht="14.25" customHeight="1" x14ac:dyDescent="0.2">
      <c r="B24" s="101" t="s">
        <v>110</v>
      </c>
    </row>
    <row r="25" spans="1:2" ht="14.25" customHeight="1" x14ac:dyDescent="0.2">
      <c r="B25" s="101" t="s">
        <v>111</v>
      </c>
    </row>
    <row r="26" spans="1:2" ht="14.25" customHeight="1" x14ac:dyDescent="0.2">
      <c r="B26" s="101" t="s">
        <v>112</v>
      </c>
    </row>
    <row r="27" spans="1:2" ht="30" customHeight="1" x14ac:dyDescent="0.2"/>
    <row r="28" spans="1:2" s="110" customFormat="1" ht="14.25" customHeight="1" x14ac:dyDescent="0.2">
      <c r="A28" s="108">
        <v>3</v>
      </c>
      <c r="B28" s="109" t="s">
        <v>113</v>
      </c>
    </row>
    <row r="29" spans="1:2" ht="14.25" customHeight="1" x14ac:dyDescent="0.2"/>
    <row r="30" spans="1:2" ht="14.25" customHeight="1" x14ac:dyDescent="0.2">
      <c r="B30" s="101" t="s">
        <v>114</v>
      </c>
    </row>
    <row r="31" spans="1:2" ht="14.25" customHeight="1" x14ac:dyDescent="0.2">
      <c r="B31" s="101" t="s">
        <v>115</v>
      </c>
    </row>
    <row r="32" spans="1:2" ht="14.25" customHeight="1" x14ac:dyDescent="0.2">
      <c r="B32" s="101" t="s">
        <v>116</v>
      </c>
    </row>
    <row r="33" spans="2:2" ht="14.25" customHeight="1" x14ac:dyDescent="0.2">
      <c r="B33" s="101" t="s">
        <v>117</v>
      </c>
    </row>
    <row r="34" spans="2:2" ht="14.25" customHeight="1" x14ac:dyDescent="0.2"/>
    <row r="35" spans="2:2" ht="14.25" customHeight="1" x14ac:dyDescent="0.2"/>
    <row r="36" spans="2:2" ht="14.25" customHeight="1" x14ac:dyDescent="0.2"/>
    <row r="37" spans="2:2" ht="14.25" customHeight="1" x14ac:dyDescent="0.2"/>
    <row r="38" spans="2:2" ht="14.25" customHeight="1" x14ac:dyDescent="0.2"/>
    <row r="39" spans="2:2" ht="14.25" customHeight="1" x14ac:dyDescent="0.2"/>
    <row r="40" spans="2:2" ht="14.25" customHeight="1" x14ac:dyDescent="0.2"/>
    <row r="41" spans="2:2" ht="14.25" customHeight="1" x14ac:dyDescent="0.2"/>
    <row r="42" spans="2:2" ht="14.25" customHeight="1" x14ac:dyDescent="0.2"/>
    <row r="43" spans="2:2" ht="14.25" customHeight="1" x14ac:dyDescent="0.2"/>
    <row r="44" spans="2:2" ht="14.25" customHeight="1" x14ac:dyDescent="0.2"/>
    <row r="45" spans="2:2" ht="14.25" customHeight="1" x14ac:dyDescent="0.2"/>
    <row r="46" spans="2:2" ht="14.25" customHeight="1" x14ac:dyDescent="0.2"/>
    <row r="47" spans="2:2" ht="14.25" customHeight="1" x14ac:dyDescent="0.2"/>
    <row r="48" spans="2:2"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sheetData>
  <sheetProtection algorithmName="SHA-512" hashValue="1ltxXXpqY1YqY99pcichldHPBLZuv45V1TxrzTQVwiZiWy9ZXaRP7tpPLfKDjAtnuVCSgGtLRizJ+IedDn7rVA==" saltValue="AqR871rJh2tFF2A30ki5tg==" spinCount="100000" sheet="1" objects="1" scenarios="1"/>
  <phoneticPr fontId="11" type="noConversion"/>
  <pageMargins left="0.78740157480314965" right="0.78740157480314965" top="0.98425196850393704" bottom="0.98425196850393704" header="0.51181102362204722" footer="0.51181102362204722"/>
  <pageSetup paperSize="9" scale="67" orientation="landscape" r:id="rId1"/>
  <headerFooter alignWithMargins="0">
    <oddHeader>&amp;R&amp;"Arial,Fett"&amp;8Jedele und Partner GmbH</oddHeader>
    <oddFooter>&amp;L&amp;6&amp;F   &amp;A   &amp;D</oddFooter>
  </headerFooter>
  <drawing r:id="rId2"/>
  <legacyDrawing r:id="rId3"/>
  <oleObjects>
    <mc:AlternateContent xmlns:mc="http://schemas.openxmlformats.org/markup-compatibility/2006">
      <mc:Choice Requires="x14">
        <oleObject progId="Acrobat Document" dvAspect="DVASPECT_ICON" shapeId="74753" r:id="rId4">
          <objectPr defaultSize="0" autoPict="0" r:id="rId5">
            <anchor moveWithCells="1">
              <from>
                <xdr:col>1</xdr:col>
                <xdr:colOff>9448800</xdr:colOff>
                <xdr:row>11</xdr:row>
                <xdr:rowOff>95250</xdr:rowOff>
              </from>
              <to>
                <xdr:col>1</xdr:col>
                <xdr:colOff>10296525</xdr:colOff>
                <xdr:row>15</xdr:row>
                <xdr:rowOff>9525</xdr:rowOff>
              </to>
            </anchor>
          </objectPr>
        </oleObject>
      </mc:Choice>
      <mc:Fallback>
        <oleObject progId="Acrobat Document" dvAspect="DVASPECT_ICON" shapeId="74753"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indexed="22"/>
    <pageSetUpPr fitToPage="1"/>
  </sheetPr>
  <dimension ref="A1:I219"/>
  <sheetViews>
    <sheetView showGridLines="0" zoomScale="85" zoomScaleNormal="85" workbookViewId="0">
      <pane xSplit="3" ySplit="4" topLeftCell="D5" activePane="bottomRight" state="frozen"/>
      <selection activeCell="C7" sqref="C7"/>
      <selection pane="topRight" activeCell="C7" sqref="C7"/>
      <selection pane="bottomLeft" activeCell="C7" sqref="C7"/>
      <selection pane="bottomRight" activeCell="B1" sqref="B1"/>
    </sheetView>
  </sheetViews>
  <sheetFormatPr baseColWidth="10" defaultColWidth="11" defaultRowHeight="14.25" x14ac:dyDescent="0.2"/>
  <cols>
    <col min="1" max="1" width="3.125" style="288" customWidth="1"/>
    <col min="2" max="2" width="37.875" style="288" customWidth="1"/>
    <col min="3" max="3" width="14.125" style="288" bestFit="1" customWidth="1"/>
    <col min="4" max="8" width="18.625" style="288" customWidth="1"/>
    <col min="9" max="9" width="3.125" style="288" customWidth="1"/>
    <col min="10" max="16384" width="11" style="288"/>
  </cols>
  <sheetData>
    <row r="1" spans="1:9" s="284" customFormat="1" ht="30" customHeight="1" thickBot="1" x14ac:dyDescent="0.25">
      <c r="B1" s="283" t="s">
        <v>145</v>
      </c>
      <c r="E1" s="285"/>
    </row>
    <row r="2" spans="1:9" ht="16.5" thickTop="1" thickBot="1" x14ac:dyDescent="0.25">
      <c r="D2" s="290" t="s">
        <v>149</v>
      </c>
      <c r="E2" s="291" t="s">
        <v>150</v>
      </c>
      <c r="F2" s="292" t="s">
        <v>151</v>
      </c>
      <c r="G2" s="472" t="s">
        <v>246</v>
      </c>
      <c r="H2" s="473" t="s">
        <v>247</v>
      </c>
    </row>
    <row r="3" spans="1:9" ht="16.5" thickTop="1" thickBot="1" x14ac:dyDescent="0.25">
      <c r="B3" s="286"/>
      <c r="C3" s="414" t="s">
        <v>124</v>
      </c>
      <c r="D3" s="290" t="s">
        <v>269</v>
      </c>
      <c r="E3" s="291" t="s">
        <v>270</v>
      </c>
      <c r="F3" s="292" t="s">
        <v>271</v>
      </c>
      <c r="G3" s="472" t="s">
        <v>258</v>
      </c>
      <c r="H3" s="473" t="s">
        <v>259</v>
      </c>
    </row>
    <row r="4" spans="1:9" ht="20.100000000000001" customHeight="1" thickTop="1" x14ac:dyDescent="0.2">
      <c r="B4" s="286" t="s">
        <v>143</v>
      </c>
      <c r="C4" s="287" t="s">
        <v>80</v>
      </c>
      <c r="D4" s="284" t="s">
        <v>6</v>
      </c>
    </row>
    <row r="5" spans="1:9" ht="15" x14ac:dyDescent="0.2">
      <c r="B5" s="293" t="s">
        <v>7</v>
      </c>
      <c r="C5" s="294">
        <v>40</v>
      </c>
      <c r="D5" s="295">
        <v>5</v>
      </c>
      <c r="E5" s="295">
        <v>6</v>
      </c>
      <c r="F5" s="295">
        <v>3</v>
      </c>
      <c r="G5" s="295">
        <v>6</v>
      </c>
      <c r="H5" s="295">
        <v>3</v>
      </c>
    </row>
    <row r="6" spans="1:9" ht="15" x14ac:dyDescent="0.2">
      <c r="B6" s="296" t="s">
        <v>11</v>
      </c>
      <c r="C6" s="297">
        <v>20</v>
      </c>
      <c r="D6" s="298">
        <v>5</v>
      </c>
      <c r="E6" s="298">
        <v>6</v>
      </c>
      <c r="F6" s="298">
        <v>3</v>
      </c>
      <c r="G6" s="298">
        <v>3</v>
      </c>
      <c r="H6" s="298">
        <v>4</v>
      </c>
    </row>
    <row r="7" spans="1:9" ht="15" x14ac:dyDescent="0.2">
      <c r="B7" s="296" t="s">
        <v>12</v>
      </c>
      <c r="C7" s="297">
        <v>10</v>
      </c>
      <c r="D7" s="298">
        <v>4</v>
      </c>
      <c r="E7" s="298">
        <v>3</v>
      </c>
      <c r="F7" s="298">
        <v>6</v>
      </c>
      <c r="G7" s="298">
        <v>2</v>
      </c>
      <c r="H7" s="298">
        <v>3</v>
      </c>
    </row>
    <row r="8" spans="1:9" ht="15" x14ac:dyDescent="0.2">
      <c r="B8" s="296" t="s">
        <v>89</v>
      </c>
      <c r="C8" s="297">
        <v>10</v>
      </c>
      <c r="D8" s="298">
        <v>4</v>
      </c>
      <c r="E8" s="298">
        <v>6</v>
      </c>
      <c r="F8" s="298">
        <v>6</v>
      </c>
      <c r="G8" s="298">
        <v>3</v>
      </c>
      <c r="H8" s="298">
        <v>4</v>
      </c>
    </row>
    <row r="9" spans="1:9" ht="15" x14ac:dyDescent="0.2">
      <c r="B9" s="299" t="s">
        <v>90</v>
      </c>
      <c r="C9" s="300">
        <v>10</v>
      </c>
      <c r="D9" s="301">
        <v>5</v>
      </c>
      <c r="E9" s="301">
        <v>3</v>
      </c>
      <c r="F9" s="301">
        <v>6</v>
      </c>
      <c r="G9" s="301">
        <v>2</v>
      </c>
      <c r="H9" s="301">
        <v>3</v>
      </c>
    </row>
    <row r="10" spans="1:9" ht="15" x14ac:dyDescent="0.2">
      <c r="B10" s="302" t="s">
        <v>8</v>
      </c>
      <c r="C10" s="303">
        <v>10</v>
      </c>
      <c r="D10" s="304">
        <v>5</v>
      </c>
      <c r="E10" s="304">
        <v>6</v>
      </c>
      <c r="F10" s="304">
        <v>4</v>
      </c>
      <c r="G10" s="304">
        <v>6</v>
      </c>
      <c r="H10" s="304">
        <v>4</v>
      </c>
    </row>
    <row r="11" spans="1:9" x14ac:dyDescent="0.2">
      <c r="D11" s="305"/>
      <c r="E11" s="305"/>
      <c r="F11" s="305"/>
      <c r="G11" s="305"/>
      <c r="H11" s="305"/>
    </row>
    <row r="12" spans="1:9" ht="15" x14ac:dyDescent="0.2">
      <c r="B12" s="306" t="s">
        <v>118</v>
      </c>
      <c r="D12" s="305"/>
      <c r="E12" s="305"/>
      <c r="F12" s="305"/>
      <c r="G12" s="305"/>
      <c r="H12" s="305"/>
    </row>
    <row r="13" spans="1:9" ht="15" x14ac:dyDescent="0.25">
      <c r="A13" s="524" t="s">
        <v>127</v>
      </c>
      <c r="B13" s="372" t="s">
        <v>127</v>
      </c>
      <c r="C13" s="371"/>
      <c r="D13" s="371"/>
      <c r="E13" s="373"/>
      <c r="F13" s="373"/>
      <c r="G13" s="373"/>
      <c r="H13" s="373"/>
      <c r="I13" s="371"/>
    </row>
    <row r="14" spans="1:9" x14ac:dyDescent="0.2">
      <c r="A14" s="524" t="s">
        <v>127</v>
      </c>
      <c r="B14" s="308" t="s">
        <v>209</v>
      </c>
      <c r="C14" s="309" t="s">
        <v>128</v>
      </c>
      <c r="D14" s="310"/>
      <c r="E14" s="310"/>
      <c r="F14" s="310"/>
      <c r="G14" s="310"/>
      <c r="H14" s="310"/>
      <c r="I14" s="371"/>
    </row>
    <row r="15" spans="1:9" x14ac:dyDescent="0.2">
      <c r="A15" s="524" t="s">
        <v>127</v>
      </c>
      <c r="B15" s="311" t="s">
        <v>129</v>
      </c>
      <c r="C15" s="342" t="s">
        <v>195</v>
      </c>
      <c r="D15" s="416"/>
      <c r="E15" s="416"/>
      <c r="F15" s="416"/>
      <c r="G15" s="416"/>
      <c r="H15" s="416"/>
      <c r="I15" s="371"/>
    </row>
    <row r="16" spans="1:9" x14ac:dyDescent="0.2">
      <c r="A16" s="524" t="s">
        <v>127</v>
      </c>
      <c r="B16" s="308" t="s">
        <v>130</v>
      </c>
      <c r="C16" s="309" t="s">
        <v>61</v>
      </c>
      <c r="D16" s="107" t="s">
        <v>85</v>
      </c>
      <c r="E16" s="107" t="s">
        <v>85</v>
      </c>
      <c r="F16" s="107" t="s">
        <v>85</v>
      </c>
      <c r="G16" s="107" t="s">
        <v>85</v>
      </c>
      <c r="H16" s="107" t="s">
        <v>85</v>
      </c>
      <c r="I16" s="371"/>
    </row>
    <row r="17" spans="1:9" x14ac:dyDescent="0.2">
      <c r="A17" s="524" t="s">
        <v>127</v>
      </c>
      <c r="B17" s="378"/>
      <c r="C17" s="379"/>
      <c r="D17" s="380"/>
      <c r="E17" s="380"/>
      <c r="F17" s="380"/>
      <c r="G17" s="471"/>
      <c r="H17" s="471"/>
      <c r="I17" s="371"/>
    </row>
    <row r="18" spans="1:9" x14ac:dyDescent="0.2">
      <c r="A18" s="524" t="s">
        <v>127</v>
      </c>
      <c r="B18" s="308" t="s">
        <v>210</v>
      </c>
      <c r="C18" s="309" t="s">
        <v>128</v>
      </c>
      <c r="D18" s="310"/>
      <c r="E18" s="310"/>
      <c r="F18" s="310"/>
      <c r="G18" s="310"/>
      <c r="H18" s="310"/>
      <c r="I18" s="371"/>
    </row>
    <row r="19" spans="1:9" x14ac:dyDescent="0.2">
      <c r="A19" s="524" t="s">
        <v>127</v>
      </c>
      <c r="B19" s="311" t="s">
        <v>129</v>
      </c>
      <c r="C19" s="342" t="s">
        <v>195</v>
      </c>
      <c r="D19" s="416"/>
      <c r="E19" s="416"/>
      <c r="F19" s="416"/>
      <c r="G19" s="416"/>
      <c r="H19" s="416"/>
      <c r="I19" s="371"/>
    </row>
    <row r="20" spans="1:9" x14ac:dyDescent="0.2">
      <c r="A20" s="524" t="s">
        <v>127</v>
      </c>
      <c r="B20" s="308" t="s">
        <v>130</v>
      </c>
      <c r="C20" s="309" t="s">
        <v>61</v>
      </c>
      <c r="D20" s="107" t="s">
        <v>85</v>
      </c>
      <c r="E20" s="107" t="s">
        <v>85</v>
      </c>
      <c r="F20" s="107" t="s">
        <v>85</v>
      </c>
      <c r="G20" s="107" t="s">
        <v>85</v>
      </c>
      <c r="H20" s="107" t="s">
        <v>85</v>
      </c>
      <c r="I20" s="371"/>
    </row>
    <row r="21" spans="1:9" x14ac:dyDescent="0.2">
      <c r="A21" s="524" t="s">
        <v>127</v>
      </c>
      <c r="B21" s="311" t="s">
        <v>131</v>
      </c>
      <c r="C21" s="312" t="s">
        <v>235</v>
      </c>
      <c r="D21" s="310"/>
      <c r="E21" s="310"/>
      <c r="F21" s="310"/>
      <c r="G21" s="470"/>
      <c r="H21" s="470"/>
      <c r="I21" s="371"/>
    </row>
    <row r="22" spans="1:9" x14ac:dyDescent="0.2">
      <c r="A22" s="524" t="s">
        <v>127</v>
      </c>
      <c r="B22" s="308" t="s">
        <v>130</v>
      </c>
      <c r="C22" s="309" t="s">
        <v>61</v>
      </c>
      <c r="D22" s="107" t="s">
        <v>85</v>
      </c>
      <c r="E22" s="107" t="s">
        <v>85</v>
      </c>
      <c r="F22" s="107" t="s">
        <v>85</v>
      </c>
      <c r="G22" s="107" t="s">
        <v>85</v>
      </c>
      <c r="H22" s="107" t="s">
        <v>85</v>
      </c>
      <c r="I22" s="371"/>
    </row>
    <row r="23" spans="1:9" x14ac:dyDescent="0.2">
      <c r="A23" s="524" t="s">
        <v>127</v>
      </c>
      <c r="B23" s="378"/>
      <c r="C23" s="379"/>
      <c r="D23" s="380"/>
      <c r="E23" s="380"/>
      <c r="F23" s="380"/>
      <c r="G23" s="471"/>
      <c r="H23" s="471"/>
      <c r="I23" s="371"/>
    </row>
    <row r="24" spans="1:9" x14ac:dyDescent="0.2">
      <c r="A24" s="524" t="s">
        <v>127</v>
      </c>
      <c r="B24" s="308" t="s">
        <v>211</v>
      </c>
      <c r="C24" s="309" t="s">
        <v>128</v>
      </c>
      <c r="D24" s="310"/>
      <c r="E24" s="310"/>
      <c r="F24" s="310"/>
      <c r="G24" s="310"/>
      <c r="H24" s="310"/>
      <c r="I24" s="371"/>
    </row>
    <row r="25" spans="1:9" x14ac:dyDescent="0.2">
      <c r="A25" s="524" t="s">
        <v>127</v>
      </c>
      <c r="B25" s="311" t="s">
        <v>129</v>
      </c>
      <c r="C25" s="342" t="s">
        <v>195</v>
      </c>
      <c r="D25" s="416"/>
      <c r="E25" s="416"/>
      <c r="F25" s="416"/>
      <c r="G25" s="416"/>
      <c r="H25" s="416"/>
      <c r="I25" s="371"/>
    </row>
    <row r="26" spans="1:9" x14ac:dyDescent="0.2">
      <c r="A26" s="524" t="s">
        <v>127</v>
      </c>
      <c r="B26" s="308" t="s">
        <v>130</v>
      </c>
      <c r="C26" s="309" t="s">
        <v>61</v>
      </c>
      <c r="D26" s="107" t="s">
        <v>85</v>
      </c>
      <c r="E26" s="107" t="s">
        <v>85</v>
      </c>
      <c r="F26" s="107" t="s">
        <v>85</v>
      </c>
      <c r="G26" s="107" t="s">
        <v>85</v>
      </c>
      <c r="H26" s="107" t="s">
        <v>85</v>
      </c>
      <c r="I26" s="371"/>
    </row>
    <row r="27" spans="1:9" x14ac:dyDescent="0.2">
      <c r="A27" s="524" t="s">
        <v>127</v>
      </c>
      <c r="B27" s="311" t="s">
        <v>131</v>
      </c>
      <c r="C27" s="312" t="s">
        <v>235</v>
      </c>
      <c r="D27" s="310"/>
      <c r="E27" s="310"/>
      <c r="F27" s="310"/>
      <c r="G27" s="470"/>
      <c r="H27" s="470"/>
      <c r="I27" s="371"/>
    </row>
    <row r="28" spans="1:9" x14ac:dyDescent="0.2">
      <c r="A28" s="524" t="s">
        <v>127</v>
      </c>
      <c r="B28" s="308" t="s">
        <v>130</v>
      </c>
      <c r="C28" s="309" t="s">
        <v>61</v>
      </c>
      <c r="D28" s="107" t="s">
        <v>85</v>
      </c>
      <c r="E28" s="107" t="s">
        <v>85</v>
      </c>
      <c r="F28" s="107" t="s">
        <v>85</v>
      </c>
      <c r="G28" s="107" t="s">
        <v>85</v>
      </c>
      <c r="H28" s="107" t="s">
        <v>85</v>
      </c>
      <c r="I28" s="371"/>
    </row>
    <row r="29" spans="1:9" ht="15" x14ac:dyDescent="0.2">
      <c r="A29" s="524" t="s">
        <v>127</v>
      </c>
      <c r="B29" s="374"/>
      <c r="C29" s="371"/>
      <c r="D29" s="373"/>
      <c r="E29" s="373"/>
      <c r="F29" s="373"/>
      <c r="G29" s="373"/>
      <c r="H29" s="373"/>
      <c r="I29" s="371"/>
    </row>
    <row r="30" spans="1:9" ht="15" x14ac:dyDescent="0.25">
      <c r="A30" s="334"/>
      <c r="B30" s="335" t="s">
        <v>202</v>
      </c>
      <c r="C30" s="334"/>
      <c r="D30" s="334"/>
      <c r="E30" s="343"/>
      <c r="F30" s="343"/>
      <c r="G30" s="343"/>
      <c r="H30" s="343"/>
      <c r="I30" s="334"/>
    </row>
    <row r="31" spans="1:9" x14ac:dyDescent="0.2">
      <c r="A31" s="334"/>
      <c r="B31" s="308" t="s">
        <v>119</v>
      </c>
      <c r="C31" s="309" t="s">
        <v>120</v>
      </c>
      <c r="D31" s="416"/>
      <c r="E31" s="416"/>
      <c r="F31" s="416"/>
      <c r="G31" s="416"/>
      <c r="H31" s="416"/>
      <c r="I31" s="334"/>
    </row>
    <row r="32" spans="1:9" x14ac:dyDescent="0.2">
      <c r="A32" s="334"/>
      <c r="B32" s="308" t="s">
        <v>121</v>
      </c>
      <c r="C32" s="309" t="s">
        <v>122</v>
      </c>
      <c r="D32" s="310"/>
      <c r="E32" s="310"/>
      <c r="F32" s="310"/>
      <c r="G32" s="310"/>
      <c r="H32" s="310"/>
      <c r="I32" s="334"/>
    </row>
    <row r="33" spans="1:9" x14ac:dyDescent="0.2">
      <c r="A33" s="334"/>
      <c r="B33" s="308" t="s">
        <v>123</v>
      </c>
      <c r="C33" s="309" t="s">
        <v>61</v>
      </c>
      <c r="D33" s="106" t="s">
        <v>59</v>
      </c>
      <c r="E33" s="106" t="s">
        <v>59</v>
      </c>
      <c r="F33" s="106" t="s">
        <v>59</v>
      </c>
      <c r="G33" s="106" t="s">
        <v>59</v>
      </c>
      <c r="H33" s="106" t="s">
        <v>59</v>
      </c>
      <c r="I33" s="334"/>
    </row>
    <row r="34" spans="1:9" x14ac:dyDescent="0.2">
      <c r="A34" s="334"/>
      <c r="B34" s="308" t="s">
        <v>125</v>
      </c>
      <c r="C34" s="309" t="s">
        <v>61</v>
      </c>
      <c r="D34" s="106" t="s">
        <v>56</v>
      </c>
      <c r="E34" s="106" t="s">
        <v>56</v>
      </c>
      <c r="F34" s="106" t="s">
        <v>56</v>
      </c>
      <c r="G34" s="106" t="s">
        <v>56</v>
      </c>
      <c r="H34" s="106" t="s">
        <v>56</v>
      </c>
      <c r="I34" s="334"/>
    </row>
    <row r="35" spans="1:9" x14ac:dyDescent="0.2">
      <c r="A35" s="334"/>
      <c r="B35" s="308" t="s">
        <v>126</v>
      </c>
      <c r="C35" s="309" t="s">
        <v>61</v>
      </c>
      <c r="D35" s="106" t="s">
        <v>64</v>
      </c>
      <c r="E35" s="106" t="s">
        <v>64</v>
      </c>
      <c r="F35" s="106" t="s">
        <v>64</v>
      </c>
      <c r="G35" s="106" t="s">
        <v>64</v>
      </c>
      <c r="H35" s="106" t="s">
        <v>64</v>
      </c>
      <c r="I35" s="334"/>
    </row>
    <row r="36" spans="1:9" x14ac:dyDescent="0.2">
      <c r="A36" s="334"/>
      <c r="B36" s="311" t="s">
        <v>129</v>
      </c>
      <c r="C36" s="312" t="s">
        <v>49</v>
      </c>
      <c r="D36" s="310"/>
      <c r="E36" s="310"/>
      <c r="F36" s="310"/>
      <c r="G36" s="310"/>
      <c r="H36" s="310"/>
      <c r="I36" s="334"/>
    </row>
    <row r="37" spans="1:9" x14ac:dyDescent="0.2">
      <c r="A37" s="334"/>
      <c r="B37" s="308" t="s">
        <v>130</v>
      </c>
      <c r="C37" s="309" t="s">
        <v>61</v>
      </c>
      <c r="D37" s="107" t="s">
        <v>85</v>
      </c>
      <c r="E37" s="107" t="s">
        <v>85</v>
      </c>
      <c r="F37" s="107" t="s">
        <v>85</v>
      </c>
      <c r="G37" s="107" t="s">
        <v>85</v>
      </c>
      <c r="H37" s="107" t="s">
        <v>85</v>
      </c>
      <c r="I37" s="334"/>
    </row>
    <row r="38" spans="1:9" x14ac:dyDescent="0.2">
      <c r="A38" s="334"/>
      <c r="B38" s="311" t="s">
        <v>131</v>
      </c>
      <c r="C38" s="312" t="s">
        <v>50</v>
      </c>
      <c r="D38" s="310"/>
      <c r="E38" s="310"/>
      <c r="F38" s="310"/>
      <c r="G38" s="310"/>
      <c r="H38" s="310"/>
      <c r="I38" s="334"/>
    </row>
    <row r="39" spans="1:9" x14ac:dyDescent="0.2">
      <c r="A39" s="334"/>
      <c r="B39" s="308" t="s">
        <v>130</v>
      </c>
      <c r="C39" s="309" t="s">
        <v>61</v>
      </c>
      <c r="D39" s="107" t="s">
        <v>85</v>
      </c>
      <c r="E39" s="107" t="s">
        <v>85</v>
      </c>
      <c r="F39" s="107" t="s">
        <v>85</v>
      </c>
      <c r="G39" s="107" t="s">
        <v>85</v>
      </c>
      <c r="H39" s="107" t="s">
        <v>85</v>
      </c>
      <c r="I39" s="334"/>
    </row>
    <row r="40" spans="1:9" ht="15" x14ac:dyDescent="0.25">
      <c r="A40" s="334"/>
      <c r="B40" s="335" t="s">
        <v>203</v>
      </c>
      <c r="C40" s="334"/>
      <c r="D40" s="334"/>
      <c r="E40" s="343"/>
      <c r="F40" s="343"/>
      <c r="G40" s="343"/>
      <c r="H40" s="343"/>
      <c r="I40" s="334"/>
    </row>
    <row r="41" spans="1:9" x14ac:dyDescent="0.2">
      <c r="A41" s="334"/>
      <c r="B41" s="308" t="s">
        <v>119</v>
      </c>
      <c r="C41" s="309" t="s">
        <v>120</v>
      </c>
      <c r="D41" s="310"/>
      <c r="E41" s="310"/>
      <c r="F41" s="310"/>
      <c r="G41" s="310"/>
      <c r="H41" s="310"/>
      <c r="I41" s="334"/>
    </row>
    <row r="42" spans="1:9" x14ac:dyDescent="0.2">
      <c r="A42" s="334"/>
      <c r="B42" s="308" t="s">
        <v>121</v>
      </c>
      <c r="C42" s="309" t="s">
        <v>122</v>
      </c>
      <c r="D42" s="310"/>
      <c r="E42" s="310"/>
      <c r="F42" s="310"/>
      <c r="G42" s="310"/>
      <c r="H42" s="310"/>
      <c r="I42" s="334"/>
    </row>
    <row r="43" spans="1:9" x14ac:dyDescent="0.2">
      <c r="A43" s="334"/>
      <c r="B43" s="308" t="s">
        <v>123</v>
      </c>
      <c r="C43" s="309" t="s">
        <v>61</v>
      </c>
      <c r="D43" s="106" t="s">
        <v>59</v>
      </c>
      <c r="E43" s="106" t="s">
        <v>59</v>
      </c>
      <c r="F43" s="106" t="s">
        <v>59</v>
      </c>
      <c r="G43" s="106" t="s">
        <v>59</v>
      </c>
      <c r="H43" s="106" t="s">
        <v>59</v>
      </c>
      <c r="I43" s="334"/>
    </row>
    <row r="44" spans="1:9" x14ac:dyDescent="0.2">
      <c r="A44" s="334"/>
      <c r="B44" s="308" t="s">
        <v>125</v>
      </c>
      <c r="C44" s="309" t="s">
        <v>61</v>
      </c>
      <c r="D44" s="106" t="s">
        <v>56</v>
      </c>
      <c r="E44" s="106" t="s">
        <v>56</v>
      </c>
      <c r="F44" s="106" t="s">
        <v>56</v>
      </c>
      <c r="G44" s="106" t="s">
        <v>56</v>
      </c>
      <c r="H44" s="106" t="s">
        <v>56</v>
      </c>
      <c r="I44" s="334"/>
    </row>
    <row r="45" spans="1:9" x14ac:dyDescent="0.2">
      <c r="A45" s="334"/>
      <c r="B45" s="308" t="s">
        <v>126</v>
      </c>
      <c r="C45" s="309" t="s">
        <v>61</v>
      </c>
      <c r="D45" s="106" t="s">
        <v>64</v>
      </c>
      <c r="E45" s="106" t="s">
        <v>64</v>
      </c>
      <c r="F45" s="106" t="s">
        <v>64</v>
      </c>
      <c r="G45" s="106" t="s">
        <v>64</v>
      </c>
      <c r="H45" s="106" t="s">
        <v>64</v>
      </c>
      <c r="I45" s="334"/>
    </row>
    <row r="46" spans="1:9" x14ac:dyDescent="0.2">
      <c r="A46" s="334"/>
      <c r="B46" s="311" t="s">
        <v>129</v>
      </c>
      <c r="C46" s="312" t="s">
        <v>49</v>
      </c>
      <c r="D46" s="310"/>
      <c r="E46" s="310"/>
      <c r="F46" s="310"/>
      <c r="G46" s="310"/>
      <c r="H46" s="310"/>
      <c r="I46" s="334"/>
    </row>
    <row r="47" spans="1:9" x14ac:dyDescent="0.2">
      <c r="A47" s="334"/>
      <c r="B47" s="308" t="s">
        <v>130</v>
      </c>
      <c r="C47" s="309" t="s">
        <v>61</v>
      </c>
      <c r="D47" s="107" t="s">
        <v>85</v>
      </c>
      <c r="E47" s="107" t="s">
        <v>85</v>
      </c>
      <c r="F47" s="107" t="s">
        <v>85</v>
      </c>
      <c r="G47" s="107" t="s">
        <v>85</v>
      </c>
      <c r="H47" s="107" t="s">
        <v>85</v>
      </c>
      <c r="I47" s="334"/>
    </row>
    <row r="48" spans="1:9" x14ac:dyDescent="0.2">
      <c r="A48" s="334"/>
      <c r="B48" s="311" t="s">
        <v>131</v>
      </c>
      <c r="C48" s="312" t="s">
        <v>50</v>
      </c>
      <c r="D48" s="310"/>
      <c r="E48" s="310"/>
      <c r="F48" s="310"/>
      <c r="G48" s="310"/>
      <c r="H48" s="310"/>
      <c r="I48" s="334"/>
    </row>
    <row r="49" spans="1:9" x14ac:dyDescent="0.2">
      <c r="A49" s="334"/>
      <c r="B49" s="308" t="s">
        <v>130</v>
      </c>
      <c r="C49" s="309" t="s">
        <v>61</v>
      </c>
      <c r="D49" s="107" t="s">
        <v>85</v>
      </c>
      <c r="E49" s="107" t="s">
        <v>85</v>
      </c>
      <c r="F49" s="107" t="s">
        <v>85</v>
      </c>
      <c r="G49" s="107" t="s">
        <v>85</v>
      </c>
      <c r="H49" s="107" t="s">
        <v>85</v>
      </c>
      <c r="I49" s="334"/>
    </row>
    <row r="50" spans="1:9" ht="15" x14ac:dyDescent="0.25">
      <c r="A50" s="334"/>
      <c r="B50" s="335" t="s">
        <v>204</v>
      </c>
      <c r="C50" s="334"/>
      <c r="D50" s="334"/>
      <c r="E50" s="343"/>
      <c r="F50" s="343"/>
      <c r="G50" s="343"/>
      <c r="H50" s="343"/>
      <c r="I50" s="334"/>
    </row>
    <row r="51" spans="1:9" x14ac:dyDescent="0.2">
      <c r="A51" s="334"/>
      <c r="B51" s="308" t="s">
        <v>119</v>
      </c>
      <c r="C51" s="309" t="s">
        <v>120</v>
      </c>
      <c r="D51" s="310"/>
      <c r="E51" s="310"/>
      <c r="F51" s="310"/>
      <c r="G51" s="310"/>
      <c r="H51" s="310"/>
      <c r="I51" s="334"/>
    </row>
    <row r="52" spans="1:9" x14ac:dyDescent="0.2">
      <c r="A52" s="334"/>
      <c r="B52" s="308" t="s">
        <v>121</v>
      </c>
      <c r="C52" s="309" t="s">
        <v>122</v>
      </c>
      <c r="D52" s="310"/>
      <c r="E52" s="310"/>
      <c r="F52" s="310"/>
      <c r="G52" s="310"/>
      <c r="H52" s="310"/>
      <c r="I52" s="334"/>
    </row>
    <row r="53" spans="1:9" x14ac:dyDescent="0.2">
      <c r="A53" s="334"/>
      <c r="B53" s="308" t="s">
        <v>123</v>
      </c>
      <c r="C53" s="309" t="s">
        <v>61</v>
      </c>
      <c r="D53" s="106" t="s">
        <v>59</v>
      </c>
      <c r="E53" s="106" t="s">
        <v>59</v>
      </c>
      <c r="F53" s="106" t="s">
        <v>59</v>
      </c>
      <c r="G53" s="106" t="s">
        <v>59</v>
      </c>
      <c r="H53" s="106" t="s">
        <v>59</v>
      </c>
      <c r="I53" s="334"/>
    </row>
    <row r="54" spans="1:9" x14ac:dyDescent="0.2">
      <c r="A54" s="334"/>
      <c r="B54" s="308" t="s">
        <v>125</v>
      </c>
      <c r="C54" s="309" t="s">
        <v>61</v>
      </c>
      <c r="D54" s="106" t="s">
        <v>56</v>
      </c>
      <c r="E54" s="106" t="s">
        <v>56</v>
      </c>
      <c r="F54" s="106" t="s">
        <v>56</v>
      </c>
      <c r="G54" s="106" t="s">
        <v>56</v>
      </c>
      <c r="H54" s="106" t="s">
        <v>56</v>
      </c>
      <c r="I54" s="334"/>
    </row>
    <row r="55" spans="1:9" x14ac:dyDescent="0.2">
      <c r="A55" s="334"/>
      <c r="B55" s="308" t="s">
        <v>126</v>
      </c>
      <c r="C55" s="309" t="s">
        <v>61</v>
      </c>
      <c r="D55" s="106" t="s">
        <v>64</v>
      </c>
      <c r="E55" s="106" t="s">
        <v>64</v>
      </c>
      <c r="F55" s="106" t="s">
        <v>64</v>
      </c>
      <c r="G55" s="106" t="s">
        <v>64</v>
      </c>
      <c r="H55" s="106" t="s">
        <v>64</v>
      </c>
      <c r="I55" s="334"/>
    </row>
    <row r="56" spans="1:9" x14ac:dyDescent="0.2">
      <c r="A56" s="334"/>
      <c r="B56" s="311" t="s">
        <v>129</v>
      </c>
      <c r="C56" s="312" t="s">
        <v>49</v>
      </c>
      <c r="D56" s="310"/>
      <c r="E56" s="310"/>
      <c r="F56" s="310"/>
      <c r="G56" s="310"/>
      <c r="H56" s="310"/>
      <c r="I56" s="334"/>
    </row>
    <row r="57" spans="1:9" x14ac:dyDescent="0.2">
      <c r="A57" s="334"/>
      <c r="B57" s="308" t="s">
        <v>130</v>
      </c>
      <c r="C57" s="309" t="s">
        <v>61</v>
      </c>
      <c r="D57" s="107" t="s">
        <v>85</v>
      </c>
      <c r="E57" s="107" t="s">
        <v>85</v>
      </c>
      <c r="F57" s="107" t="s">
        <v>85</v>
      </c>
      <c r="G57" s="107" t="s">
        <v>85</v>
      </c>
      <c r="H57" s="107" t="s">
        <v>85</v>
      </c>
      <c r="I57" s="334"/>
    </row>
    <row r="58" spans="1:9" x14ac:dyDescent="0.2">
      <c r="A58" s="334"/>
      <c r="B58" s="311" t="s">
        <v>131</v>
      </c>
      <c r="C58" s="312" t="s">
        <v>50</v>
      </c>
      <c r="D58" s="310"/>
      <c r="E58" s="310"/>
      <c r="F58" s="310"/>
      <c r="G58" s="310"/>
      <c r="H58" s="310"/>
      <c r="I58" s="334"/>
    </row>
    <row r="59" spans="1:9" x14ac:dyDescent="0.2">
      <c r="A59" s="334"/>
      <c r="B59" s="308" t="s">
        <v>130</v>
      </c>
      <c r="C59" s="309" t="s">
        <v>61</v>
      </c>
      <c r="D59" s="107" t="s">
        <v>85</v>
      </c>
      <c r="E59" s="107" t="s">
        <v>85</v>
      </c>
      <c r="F59" s="107" t="s">
        <v>85</v>
      </c>
      <c r="G59" s="107" t="s">
        <v>85</v>
      </c>
      <c r="H59" s="107" t="s">
        <v>85</v>
      </c>
      <c r="I59" s="334"/>
    </row>
    <row r="60" spans="1:9" ht="15" x14ac:dyDescent="0.25">
      <c r="A60" s="334"/>
      <c r="B60" s="335" t="s">
        <v>223</v>
      </c>
      <c r="C60" s="334"/>
      <c r="D60" s="334"/>
      <c r="E60" s="343"/>
      <c r="F60" s="343"/>
      <c r="G60" s="343"/>
      <c r="H60" s="343"/>
      <c r="I60" s="334"/>
    </row>
    <row r="61" spans="1:9" x14ac:dyDescent="0.2">
      <c r="A61" s="334"/>
      <c r="B61" s="308" t="s">
        <v>119</v>
      </c>
      <c r="C61" s="309" t="s">
        <v>120</v>
      </c>
      <c r="D61" s="310"/>
      <c r="E61" s="310"/>
      <c r="F61" s="310"/>
      <c r="G61" s="310"/>
      <c r="H61" s="310"/>
      <c r="I61" s="334"/>
    </row>
    <row r="62" spans="1:9" x14ac:dyDescent="0.2">
      <c r="A62" s="334"/>
      <c r="B62" s="308" t="s">
        <v>121</v>
      </c>
      <c r="C62" s="309" t="s">
        <v>122</v>
      </c>
      <c r="D62" s="310"/>
      <c r="E62" s="310"/>
      <c r="F62" s="310"/>
      <c r="G62" s="310"/>
      <c r="H62" s="310"/>
      <c r="I62" s="334"/>
    </row>
    <row r="63" spans="1:9" x14ac:dyDescent="0.2">
      <c r="A63" s="334"/>
      <c r="B63" s="308" t="s">
        <v>123</v>
      </c>
      <c r="C63" s="309" t="s">
        <v>61</v>
      </c>
      <c r="D63" s="106" t="s">
        <v>59</v>
      </c>
      <c r="E63" s="106" t="s">
        <v>59</v>
      </c>
      <c r="F63" s="106" t="s">
        <v>59</v>
      </c>
      <c r="G63" s="106" t="s">
        <v>59</v>
      </c>
      <c r="H63" s="106" t="s">
        <v>59</v>
      </c>
      <c r="I63" s="334"/>
    </row>
    <row r="64" spans="1:9" x14ac:dyDescent="0.2">
      <c r="A64" s="334"/>
      <c r="B64" s="308" t="s">
        <v>125</v>
      </c>
      <c r="C64" s="309" t="s">
        <v>61</v>
      </c>
      <c r="D64" s="106" t="s">
        <v>56</v>
      </c>
      <c r="E64" s="106" t="s">
        <v>56</v>
      </c>
      <c r="F64" s="106" t="s">
        <v>56</v>
      </c>
      <c r="G64" s="106" t="s">
        <v>56</v>
      </c>
      <c r="H64" s="106" t="s">
        <v>56</v>
      </c>
      <c r="I64" s="334"/>
    </row>
    <row r="65" spans="1:9" x14ac:dyDescent="0.2">
      <c r="A65" s="334"/>
      <c r="B65" s="308" t="s">
        <v>126</v>
      </c>
      <c r="C65" s="309" t="s">
        <v>61</v>
      </c>
      <c r="D65" s="106" t="s">
        <v>64</v>
      </c>
      <c r="E65" s="106" t="s">
        <v>64</v>
      </c>
      <c r="F65" s="106" t="s">
        <v>64</v>
      </c>
      <c r="G65" s="106" t="s">
        <v>64</v>
      </c>
      <c r="H65" s="106" t="s">
        <v>64</v>
      </c>
      <c r="I65" s="334"/>
    </row>
    <row r="66" spans="1:9" x14ac:dyDescent="0.2">
      <c r="A66" s="334"/>
      <c r="B66" s="311" t="s">
        <v>129</v>
      </c>
      <c r="C66" s="312" t="s">
        <v>49</v>
      </c>
      <c r="D66" s="310"/>
      <c r="E66" s="310"/>
      <c r="F66" s="310"/>
      <c r="G66" s="310"/>
      <c r="H66" s="310"/>
      <c r="I66" s="334"/>
    </row>
    <row r="67" spans="1:9" x14ac:dyDescent="0.2">
      <c r="A67" s="334"/>
      <c r="B67" s="308" t="s">
        <v>130</v>
      </c>
      <c r="C67" s="309" t="s">
        <v>61</v>
      </c>
      <c r="D67" s="107" t="s">
        <v>85</v>
      </c>
      <c r="E67" s="107" t="s">
        <v>85</v>
      </c>
      <c r="F67" s="107" t="s">
        <v>85</v>
      </c>
      <c r="G67" s="107" t="s">
        <v>85</v>
      </c>
      <c r="H67" s="107" t="s">
        <v>85</v>
      </c>
      <c r="I67" s="334"/>
    </row>
    <row r="68" spans="1:9" x14ac:dyDescent="0.2">
      <c r="A68" s="334"/>
      <c r="B68" s="311" t="s">
        <v>131</v>
      </c>
      <c r="C68" s="312" t="s">
        <v>50</v>
      </c>
      <c r="D68" s="310"/>
      <c r="E68" s="310"/>
      <c r="F68" s="310"/>
      <c r="G68" s="310"/>
      <c r="H68" s="310"/>
      <c r="I68" s="334"/>
    </row>
    <row r="69" spans="1:9" x14ac:dyDescent="0.2">
      <c r="A69" s="334"/>
      <c r="B69" s="308" t="s">
        <v>130</v>
      </c>
      <c r="C69" s="309" t="s">
        <v>61</v>
      </c>
      <c r="D69" s="462" t="s">
        <v>85</v>
      </c>
      <c r="E69" s="462" t="s">
        <v>85</v>
      </c>
      <c r="F69" s="462" t="s">
        <v>85</v>
      </c>
      <c r="G69" s="462" t="s">
        <v>85</v>
      </c>
      <c r="H69" s="462" t="s">
        <v>85</v>
      </c>
      <c r="I69" s="334"/>
    </row>
    <row r="70" spans="1:9" ht="15" x14ac:dyDescent="0.25">
      <c r="A70" s="334"/>
      <c r="B70" s="335" t="s">
        <v>224</v>
      </c>
      <c r="C70" s="334"/>
      <c r="D70" s="334"/>
      <c r="E70" s="343"/>
      <c r="F70" s="343"/>
      <c r="G70" s="343"/>
      <c r="H70" s="343"/>
      <c r="I70" s="334"/>
    </row>
    <row r="71" spans="1:9" x14ac:dyDescent="0.2">
      <c r="A71" s="334"/>
      <c r="B71" s="308" t="s">
        <v>119</v>
      </c>
      <c r="C71" s="309" t="s">
        <v>120</v>
      </c>
      <c r="D71" s="310"/>
      <c r="E71" s="310"/>
      <c r="F71" s="310"/>
      <c r="G71" s="310"/>
      <c r="H71" s="310"/>
      <c r="I71" s="334"/>
    </row>
    <row r="72" spans="1:9" x14ac:dyDescent="0.2">
      <c r="A72" s="334"/>
      <c r="B72" s="308" t="s">
        <v>121</v>
      </c>
      <c r="C72" s="309" t="s">
        <v>122</v>
      </c>
      <c r="D72" s="310"/>
      <c r="E72" s="310"/>
      <c r="F72" s="310"/>
      <c r="G72" s="310"/>
      <c r="H72" s="310"/>
      <c r="I72" s="334"/>
    </row>
    <row r="73" spans="1:9" x14ac:dyDescent="0.2">
      <c r="A73" s="334"/>
      <c r="B73" s="308" t="s">
        <v>123</v>
      </c>
      <c r="C73" s="309" t="s">
        <v>61</v>
      </c>
      <c r="D73" s="106" t="s">
        <v>59</v>
      </c>
      <c r="E73" s="106" t="s">
        <v>59</v>
      </c>
      <c r="F73" s="106" t="s">
        <v>59</v>
      </c>
      <c r="G73" s="106" t="s">
        <v>59</v>
      </c>
      <c r="H73" s="106" t="s">
        <v>59</v>
      </c>
      <c r="I73" s="334"/>
    </row>
    <row r="74" spans="1:9" x14ac:dyDescent="0.2">
      <c r="A74" s="334"/>
      <c r="B74" s="308" t="s">
        <v>125</v>
      </c>
      <c r="C74" s="309" t="s">
        <v>61</v>
      </c>
      <c r="D74" s="106" t="s">
        <v>56</v>
      </c>
      <c r="E74" s="106" t="s">
        <v>56</v>
      </c>
      <c r="F74" s="106" t="s">
        <v>56</v>
      </c>
      <c r="G74" s="106" t="s">
        <v>56</v>
      </c>
      <c r="H74" s="106" t="s">
        <v>56</v>
      </c>
      <c r="I74" s="334"/>
    </row>
    <row r="75" spans="1:9" x14ac:dyDescent="0.2">
      <c r="A75" s="334"/>
      <c r="B75" s="308" t="s">
        <v>126</v>
      </c>
      <c r="C75" s="309" t="s">
        <v>61</v>
      </c>
      <c r="D75" s="106" t="s">
        <v>64</v>
      </c>
      <c r="E75" s="106" t="s">
        <v>64</v>
      </c>
      <c r="F75" s="106" t="s">
        <v>64</v>
      </c>
      <c r="G75" s="106" t="s">
        <v>64</v>
      </c>
      <c r="H75" s="106" t="s">
        <v>64</v>
      </c>
      <c r="I75" s="334"/>
    </row>
    <row r="76" spans="1:9" x14ac:dyDescent="0.2">
      <c r="A76" s="334"/>
      <c r="B76" s="311" t="s">
        <v>129</v>
      </c>
      <c r="C76" s="312" t="s">
        <v>49</v>
      </c>
      <c r="D76" s="310"/>
      <c r="E76" s="310"/>
      <c r="F76" s="310"/>
      <c r="G76" s="310"/>
      <c r="H76" s="310"/>
      <c r="I76" s="334"/>
    </row>
    <row r="77" spans="1:9" x14ac:dyDescent="0.2">
      <c r="A77" s="334"/>
      <c r="B77" s="308" t="s">
        <v>130</v>
      </c>
      <c r="C77" s="309" t="s">
        <v>61</v>
      </c>
      <c r="D77" s="462" t="s">
        <v>85</v>
      </c>
      <c r="E77" s="462" t="s">
        <v>85</v>
      </c>
      <c r="F77" s="462" t="s">
        <v>85</v>
      </c>
      <c r="G77" s="462" t="s">
        <v>85</v>
      </c>
      <c r="H77" s="462" t="s">
        <v>85</v>
      </c>
      <c r="I77" s="334"/>
    </row>
    <row r="78" spans="1:9" x14ac:dyDescent="0.2">
      <c r="A78" s="334"/>
      <c r="B78" s="311" t="s">
        <v>131</v>
      </c>
      <c r="C78" s="312" t="s">
        <v>50</v>
      </c>
      <c r="D78" s="310"/>
      <c r="E78" s="310"/>
      <c r="F78" s="310"/>
      <c r="G78" s="310"/>
      <c r="H78" s="310"/>
      <c r="I78" s="334"/>
    </row>
    <row r="79" spans="1:9" x14ac:dyDescent="0.2">
      <c r="A79" s="334"/>
      <c r="B79" s="308" t="s">
        <v>130</v>
      </c>
      <c r="C79" s="309" t="s">
        <v>61</v>
      </c>
      <c r="D79" s="462" t="s">
        <v>85</v>
      </c>
      <c r="E79" s="462" t="s">
        <v>85</v>
      </c>
      <c r="F79" s="462" t="s">
        <v>85</v>
      </c>
      <c r="G79" s="462" t="s">
        <v>85</v>
      </c>
      <c r="H79" s="462" t="s">
        <v>85</v>
      </c>
      <c r="I79" s="334"/>
    </row>
    <row r="80" spans="1:9" ht="15" x14ac:dyDescent="0.25">
      <c r="A80" s="334"/>
      <c r="B80" s="335" t="s">
        <v>225</v>
      </c>
      <c r="C80" s="334"/>
      <c r="D80" s="334"/>
      <c r="E80" s="343"/>
      <c r="F80" s="343"/>
      <c r="G80" s="343"/>
      <c r="H80" s="343"/>
      <c r="I80" s="334"/>
    </row>
    <row r="81" spans="1:9" x14ac:dyDescent="0.2">
      <c r="A81" s="334"/>
      <c r="B81" s="308" t="s">
        <v>119</v>
      </c>
      <c r="C81" s="309" t="s">
        <v>120</v>
      </c>
      <c r="D81" s="310"/>
      <c r="E81" s="310"/>
      <c r="F81" s="310"/>
      <c r="G81" s="310"/>
      <c r="H81" s="310"/>
      <c r="I81" s="334"/>
    </row>
    <row r="82" spans="1:9" x14ac:dyDescent="0.2">
      <c r="A82" s="334"/>
      <c r="B82" s="308" t="s">
        <v>121</v>
      </c>
      <c r="C82" s="309" t="s">
        <v>122</v>
      </c>
      <c r="D82" s="310"/>
      <c r="E82" s="310"/>
      <c r="F82" s="310"/>
      <c r="G82" s="310"/>
      <c r="H82" s="310"/>
      <c r="I82" s="334"/>
    </row>
    <row r="83" spans="1:9" x14ac:dyDescent="0.2">
      <c r="A83" s="334"/>
      <c r="B83" s="308" t="s">
        <v>123</v>
      </c>
      <c r="C83" s="309" t="s">
        <v>61</v>
      </c>
      <c r="D83" s="106" t="s">
        <v>59</v>
      </c>
      <c r="E83" s="106" t="s">
        <v>59</v>
      </c>
      <c r="F83" s="106" t="s">
        <v>59</v>
      </c>
      <c r="G83" s="106" t="s">
        <v>59</v>
      </c>
      <c r="H83" s="106" t="s">
        <v>59</v>
      </c>
      <c r="I83" s="334"/>
    </row>
    <row r="84" spans="1:9" x14ac:dyDescent="0.2">
      <c r="A84" s="334"/>
      <c r="B84" s="308" t="s">
        <v>125</v>
      </c>
      <c r="C84" s="309" t="s">
        <v>61</v>
      </c>
      <c r="D84" s="593" t="s">
        <v>56</v>
      </c>
      <c r="E84" s="106" t="s">
        <v>56</v>
      </c>
      <c r="F84" s="106" t="s">
        <v>56</v>
      </c>
      <c r="G84" s="106" t="s">
        <v>56</v>
      </c>
      <c r="H84" s="106" t="s">
        <v>56</v>
      </c>
      <c r="I84" s="334"/>
    </row>
    <row r="85" spans="1:9" x14ac:dyDescent="0.2">
      <c r="A85" s="334"/>
      <c r="B85" s="308" t="s">
        <v>126</v>
      </c>
      <c r="C85" s="309" t="s">
        <v>61</v>
      </c>
      <c r="D85" s="106" t="s">
        <v>64</v>
      </c>
      <c r="E85" s="106" t="s">
        <v>64</v>
      </c>
      <c r="F85" s="106" t="s">
        <v>64</v>
      </c>
      <c r="G85" s="106" t="s">
        <v>64</v>
      </c>
      <c r="H85" s="106" t="s">
        <v>64</v>
      </c>
      <c r="I85" s="334"/>
    </row>
    <row r="86" spans="1:9" x14ac:dyDescent="0.2">
      <c r="A86" s="334"/>
      <c r="B86" s="311" t="s">
        <v>129</v>
      </c>
      <c r="C86" s="312" t="s">
        <v>49</v>
      </c>
      <c r="D86" s="310"/>
      <c r="E86" s="310"/>
      <c r="F86" s="310"/>
      <c r="G86" s="310"/>
      <c r="H86" s="310"/>
      <c r="I86" s="334"/>
    </row>
    <row r="87" spans="1:9" x14ac:dyDescent="0.2">
      <c r="A87" s="334"/>
      <c r="B87" s="308" t="s">
        <v>130</v>
      </c>
      <c r="C87" s="309" t="s">
        <v>61</v>
      </c>
      <c r="D87" s="462" t="s">
        <v>85</v>
      </c>
      <c r="E87" s="462" t="s">
        <v>85</v>
      </c>
      <c r="F87" s="462" t="s">
        <v>85</v>
      </c>
      <c r="G87" s="462" t="s">
        <v>85</v>
      </c>
      <c r="H87" s="462" t="s">
        <v>85</v>
      </c>
      <c r="I87" s="334"/>
    </row>
    <row r="88" spans="1:9" x14ac:dyDescent="0.2">
      <c r="A88" s="334"/>
      <c r="B88" s="311" t="s">
        <v>131</v>
      </c>
      <c r="C88" s="312" t="s">
        <v>50</v>
      </c>
      <c r="D88" s="310"/>
      <c r="E88" s="310"/>
      <c r="F88" s="310"/>
      <c r="G88" s="310"/>
      <c r="H88" s="310"/>
      <c r="I88" s="334"/>
    </row>
    <row r="89" spans="1:9" x14ac:dyDescent="0.2">
      <c r="A89" s="334"/>
      <c r="B89" s="308" t="s">
        <v>130</v>
      </c>
      <c r="C89" s="309" t="s">
        <v>61</v>
      </c>
      <c r="D89" s="462" t="s">
        <v>85</v>
      </c>
      <c r="E89" s="462" t="s">
        <v>85</v>
      </c>
      <c r="F89" s="462" t="s">
        <v>85</v>
      </c>
      <c r="G89" s="462" t="s">
        <v>85</v>
      </c>
      <c r="H89" s="462" t="s">
        <v>85</v>
      </c>
      <c r="I89" s="334"/>
    </row>
    <row r="90" spans="1:9" ht="15" x14ac:dyDescent="0.25">
      <c r="A90" s="334"/>
      <c r="B90" s="335" t="s">
        <v>226</v>
      </c>
      <c r="C90" s="334"/>
      <c r="D90" s="334"/>
      <c r="E90" s="343"/>
      <c r="F90" s="343"/>
      <c r="G90" s="343"/>
      <c r="H90" s="343"/>
      <c r="I90" s="334"/>
    </row>
    <row r="91" spans="1:9" x14ac:dyDescent="0.2">
      <c r="A91" s="334"/>
      <c r="B91" s="308" t="s">
        <v>119</v>
      </c>
      <c r="C91" s="309" t="s">
        <v>120</v>
      </c>
      <c r="D91" s="310"/>
      <c r="E91" s="310"/>
      <c r="F91" s="310"/>
      <c r="G91" s="310"/>
      <c r="H91" s="310"/>
      <c r="I91" s="334"/>
    </row>
    <row r="92" spans="1:9" x14ac:dyDescent="0.2">
      <c r="A92" s="334"/>
      <c r="B92" s="308" t="s">
        <v>121</v>
      </c>
      <c r="C92" s="309" t="s">
        <v>122</v>
      </c>
      <c r="D92" s="310"/>
      <c r="E92" s="310"/>
      <c r="F92" s="310"/>
      <c r="G92" s="310"/>
      <c r="H92" s="310"/>
      <c r="I92" s="334"/>
    </row>
    <row r="93" spans="1:9" x14ac:dyDescent="0.2">
      <c r="A93" s="334"/>
      <c r="B93" s="308" t="s">
        <v>123</v>
      </c>
      <c r="C93" s="309" t="s">
        <v>61</v>
      </c>
      <c r="D93" s="106" t="s">
        <v>59</v>
      </c>
      <c r="E93" s="106" t="s">
        <v>59</v>
      </c>
      <c r="F93" s="106" t="s">
        <v>59</v>
      </c>
      <c r="G93" s="106" t="s">
        <v>59</v>
      </c>
      <c r="H93" s="106" t="s">
        <v>59</v>
      </c>
      <c r="I93" s="334"/>
    </row>
    <row r="94" spans="1:9" x14ac:dyDescent="0.2">
      <c r="A94" s="334"/>
      <c r="B94" s="308" t="s">
        <v>125</v>
      </c>
      <c r="C94" s="309" t="s">
        <v>61</v>
      </c>
      <c r="D94" s="106" t="s">
        <v>56</v>
      </c>
      <c r="E94" s="106" t="s">
        <v>56</v>
      </c>
      <c r="F94" s="106" t="s">
        <v>56</v>
      </c>
      <c r="G94" s="106" t="s">
        <v>56</v>
      </c>
      <c r="H94" s="106" t="s">
        <v>56</v>
      </c>
      <c r="I94" s="334"/>
    </row>
    <row r="95" spans="1:9" x14ac:dyDescent="0.2">
      <c r="A95" s="334"/>
      <c r="B95" s="308" t="s">
        <v>126</v>
      </c>
      <c r="C95" s="309" t="s">
        <v>61</v>
      </c>
      <c r="D95" s="106" t="s">
        <v>64</v>
      </c>
      <c r="E95" s="106" t="s">
        <v>64</v>
      </c>
      <c r="F95" s="106" t="s">
        <v>64</v>
      </c>
      <c r="G95" s="106" t="s">
        <v>64</v>
      </c>
      <c r="H95" s="106" t="s">
        <v>64</v>
      </c>
      <c r="I95" s="334"/>
    </row>
    <row r="96" spans="1:9" x14ac:dyDescent="0.2">
      <c r="A96" s="334"/>
      <c r="B96" s="311" t="s">
        <v>129</v>
      </c>
      <c r="C96" s="312" t="s">
        <v>49</v>
      </c>
      <c r="D96" s="310"/>
      <c r="E96" s="310"/>
      <c r="F96" s="310"/>
      <c r="G96" s="310"/>
      <c r="H96" s="310"/>
      <c r="I96" s="334"/>
    </row>
    <row r="97" spans="1:9" x14ac:dyDescent="0.2">
      <c r="A97" s="334"/>
      <c r="B97" s="308" t="s">
        <v>130</v>
      </c>
      <c r="C97" s="309" t="s">
        <v>61</v>
      </c>
      <c r="D97" s="462" t="s">
        <v>85</v>
      </c>
      <c r="E97" s="462" t="s">
        <v>85</v>
      </c>
      <c r="F97" s="462" t="s">
        <v>85</v>
      </c>
      <c r="G97" s="462" t="s">
        <v>85</v>
      </c>
      <c r="H97" s="462" t="s">
        <v>85</v>
      </c>
      <c r="I97" s="334"/>
    </row>
    <row r="98" spans="1:9" x14ac:dyDescent="0.2">
      <c r="A98" s="334"/>
      <c r="B98" s="311" t="s">
        <v>131</v>
      </c>
      <c r="C98" s="312" t="s">
        <v>50</v>
      </c>
      <c r="D98" s="310"/>
      <c r="E98" s="310"/>
      <c r="F98" s="310"/>
      <c r="G98" s="310"/>
      <c r="H98" s="310"/>
      <c r="I98" s="334"/>
    </row>
    <row r="99" spans="1:9" x14ac:dyDescent="0.2">
      <c r="A99" s="334"/>
      <c r="B99" s="308" t="s">
        <v>130</v>
      </c>
      <c r="C99" s="309" t="s">
        <v>61</v>
      </c>
      <c r="D99" s="462" t="s">
        <v>85</v>
      </c>
      <c r="E99" s="462" t="s">
        <v>85</v>
      </c>
      <c r="F99" s="462" t="s">
        <v>85</v>
      </c>
      <c r="G99" s="462" t="s">
        <v>85</v>
      </c>
      <c r="H99" s="462" t="s">
        <v>85</v>
      </c>
      <c r="I99" s="334"/>
    </row>
    <row r="100" spans="1:9" ht="15" x14ac:dyDescent="0.25">
      <c r="A100" s="334"/>
      <c r="B100" s="335" t="s">
        <v>227</v>
      </c>
      <c r="C100" s="334"/>
      <c r="D100" s="334"/>
      <c r="E100" s="343"/>
      <c r="F100" s="343"/>
      <c r="G100" s="343"/>
      <c r="H100" s="343"/>
      <c r="I100" s="334"/>
    </row>
    <row r="101" spans="1:9" x14ac:dyDescent="0.2">
      <c r="A101" s="334"/>
      <c r="B101" s="308" t="s">
        <v>119</v>
      </c>
      <c r="C101" s="309" t="s">
        <v>120</v>
      </c>
      <c r="D101" s="310"/>
      <c r="E101" s="310"/>
      <c r="F101" s="310"/>
      <c r="G101" s="310"/>
      <c r="H101" s="310"/>
      <c r="I101" s="334"/>
    </row>
    <row r="102" spans="1:9" x14ac:dyDescent="0.2">
      <c r="A102" s="334"/>
      <c r="B102" s="308" t="s">
        <v>121</v>
      </c>
      <c r="C102" s="309" t="s">
        <v>122</v>
      </c>
      <c r="D102" s="310"/>
      <c r="E102" s="310"/>
      <c r="F102" s="310"/>
      <c r="G102" s="310"/>
      <c r="H102" s="310"/>
      <c r="I102" s="334"/>
    </row>
    <row r="103" spans="1:9" x14ac:dyDescent="0.2">
      <c r="A103" s="334"/>
      <c r="B103" s="308" t="s">
        <v>123</v>
      </c>
      <c r="C103" s="309" t="s">
        <v>61</v>
      </c>
      <c r="D103" s="106" t="s">
        <v>59</v>
      </c>
      <c r="E103" s="106" t="s">
        <v>59</v>
      </c>
      <c r="F103" s="106" t="s">
        <v>59</v>
      </c>
      <c r="G103" s="106" t="s">
        <v>59</v>
      </c>
      <c r="H103" s="106" t="s">
        <v>59</v>
      </c>
      <c r="I103" s="334"/>
    </row>
    <row r="104" spans="1:9" x14ac:dyDescent="0.2">
      <c r="A104" s="334"/>
      <c r="B104" s="308" t="s">
        <v>125</v>
      </c>
      <c r="C104" s="309" t="s">
        <v>61</v>
      </c>
      <c r="D104" s="593" t="s">
        <v>56</v>
      </c>
      <c r="E104" s="106" t="s">
        <v>56</v>
      </c>
      <c r="F104" s="106" t="s">
        <v>56</v>
      </c>
      <c r="G104" s="106" t="s">
        <v>56</v>
      </c>
      <c r="H104" s="106" t="s">
        <v>56</v>
      </c>
      <c r="I104" s="334"/>
    </row>
    <row r="105" spans="1:9" x14ac:dyDescent="0.2">
      <c r="A105" s="334"/>
      <c r="B105" s="308" t="s">
        <v>126</v>
      </c>
      <c r="C105" s="309" t="s">
        <v>61</v>
      </c>
      <c r="D105" s="106" t="s">
        <v>64</v>
      </c>
      <c r="E105" s="106" t="s">
        <v>64</v>
      </c>
      <c r="F105" s="106" t="s">
        <v>64</v>
      </c>
      <c r="G105" s="106" t="s">
        <v>64</v>
      </c>
      <c r="H105" s="106" t="s">
        <v>64</v>
      </c>
      <c r="I105" s="334"/>
    </row>
    <row r="106" spans="1:9" x14ac:dyDescent="0.2">
      <c r="A106" s="334"/>
      <c r="B106" s="311" t="s">
        <v>129</v>
      </c>
      <c r="C106" s="312" t="s">
        <v>49</v>
      </c>
      <c r="D106" s="310"/>
      <c r="E106" s="310"/>
      <c r="F106" s="310"/>
      <c r="G106" s="310"/>
      <c r="H106" s="310"/>
      <c r="I106" s="334"/>
    </row>
    <row r="107" spans="1:9" x14ac:dyDescent="0.2">
      <c r="A107" s="334"/>
      <c r="B107" s="308" t="s">
        <v>130</v>
      </c>
      <c r="C107" s="309" t="s">
        <v>61</v>
      </c>
      <c r="D107" s="462" t="s">
        <v>85</v>
      </c>
      <c r="E107" s="462" t="s">
        <v>85</v>
      </c>
      <c r="F107" s="462" t="s">
        <v>85</v>
      </c>
      <c r="G107" s="462" t="s">
        <v>85</v>
      </c>
      <c r="H107" s="462" t="s">
        <v>85</v>
      </c>
      <c r="I107" s="334"/>
    </row>
    <row r="108" spans="1:9" x14ac:dyDescent="0.2">
      <c r="A108" s="334"/>
      <c r="B108" s="311" t="s">
        <v>131</v>
      </c>
      <c r="C108" s="312" t="s">
        <v>50</v>
      </c>
      <c r="D108" s="310"/>
      <c r="E108" s="310"/>
      <c r="F108" s="310"/>
      <c r="G108" s="310"/>
      <c r="H108" s="310"/>
      <c r="I108" s="334"/>
    </row>
    <row r="109" spans="1:9" x14ac:dyDescent="0.2">
      <c r="A109" s="334"/>
      <c r="B109" s="308" t="s">
        <v>130</v>
      </c>
      <c r="C109" s="309" t="s">
        <v>61</v>
      </c>
      <c r="D109" s="462" t="s">
        <v>85</v>
      </c>
      <c r="E109" s="462" t="s">
        <v>85</v>
      </c>
      <c r="F109" s="462" t="s">
        <v>85</v>
      </c>
      <c r="G109" s="462" t="s">
        <v>85</v>
      </c>
      <c r="H109" s="462" t="s">
        <v>85</v>
      </c>
      <c r="I109" s="334"/>
    </row>
    <row r="110" spans="1:9" ht="15" x14ac:dyDescent="0.25">
      <c r="A110" s="334"/>
      <c r="B110" s="335" t="s">
        <v>228</v>
      </c>
      <c r="C110" s="334"/>
      <c r="D110" s="334"/>
      <c r="E110" s="343"/>
      <c r="F110" s="343"/>
      <c r="G110" s="343"/>
      <c r="H110" s="343"/>
      <c r="I110" s="334"/>
    </row>
    <row r="111" spans="1:9" x14ac:dyDescent="0.2">
      <c r="A111" s="334"/>
      <c r="B111" s="308" t="s">
        <v>119</v>
      </c>
      <c r="C111" s="309" t="s">
        <v>120</v>
      </c>
      <c r="D111" s="310"/>
      <c r="E111" s="310"/>
      <c r="F111" s="310"/>
      <c r="G111" s="310"/>
      <c r="H111" s="310"/>
      <c r="I111" s="334"/>
    </row>
    <row r="112" spans="1:9" x14ac:dyDescent="0.2">
      <c r="A112" s="334"/>
      <c r="B112" s="308" t="s">
        <v>121</v>
      </c>
      <c r="C112" s="309" t="s">
        <v>122</v>
      </c>
      <c r="D112" s="310"/>
      <c r="E112" s="310"/>
      <c r="F112" s="310"/>
      <c r="G112" s="310"/>
      <c r="H112" s="310"/>
      <c r="I112" s="334"/>
    </row>
    <row r="113" spans="1:9" x14ac:dyDescent="0.2">
      <c r="A113" s="334"/>
      <c r="B113" s="308" t="s">
        <v>123</v>
      </c>
      <c r="C113" s="309" t="s">
        <v>61</v>
      </c>
      <c r="D113" s="106" t="s">
        <v>59</v>
      </c>
      <c r="E113" s="106" t="s">
        <v>59</v>
      </c>
      <c r="F113" s="106" t="s">
        <v>59</v>
      </c>
      <c r="G113" s="106" t="s">
        <v>59</v>
      </c>
      <c r="H113" s="106" t="s">
        <v>59</v>
      </c>
      <c r="I113" s="334"/>
    </row>
    <row r="114" spans="1:9" x14ac:dyDescent="0.2">
      <c r="A114" s="334"/>
      <c r="B114" s="308" t="s">
        <v>125</v>
      </c>
      <c r="C114" s="309" t="s">
        <v>61</v>
      </c>
      <c r="D114" s="106" t="s">
        <v>56</v>
      </c>
      <c r="E114" s="106" t="s">
        <v>56</v>
      </c>
      <c r="F114" s="106" t="s">
        <v>56</v>
      </c>
      <c r="G114" s="106" t="s">
        <v>56</v>
      </c>
      <c r="H114" s="106" t="s">
        <v>56</v>
      </c>
      <c r="I114" s="334"/>
    </row>
    <row r="115" spans="1:9" x14ac:dyDescent="0.2">
      <c r="A115" s="334"/>
      <c r="B115" s="308" t="s">
        <v>126</v>
      </c>
      <c r="C115" s="309" t="s">
        <v>61</v>
      </c>
      <c r="D115" s="106" t="s">
        <v>64</v>
      </c>
      <c r="E115" s="106" t="s">
        <v>64</v>
      </c>
      <c r="F115" s="106" t="s">
        <v>64</v>
      </c>
      <c r="G115" s="106" t="s">
        <v>64</v>
      </c>
      <c r="H115" s="106" t="s">
        <v>64</v>
      </c>
      <c r="I115" s="334"/>
    </row>
    <row r="116" spans="1:9" x14ac:dyDescent="0.2">
      <c r="A116" s="334"/>
      <c r="B116" s="311" t="s">
        <v>129</v>
      </c>
      <c r="C116" s="312" t="s">
        <v>49</v>
      </c>
      <c r="D116" s="310"/>
      <c r="E116" s="310"/>
      <c r="F116" s="310"/>
      <c r="G116" s="310"/>
      <c r="H116" s="310"/>
      <c r="I116" s="334"/>
    </row>
    <row r="117" spans="1:9" x14ac:dyDescent="0.2">
      <c r="A117" s="334"/>
      <c r="B117" s="308" t="s">
        <v>130</v>
      </c>
      <c r="C117" s="309" t="s">
        <v>61</v>
      </c>
      <c r="D117" s="462" t="s">
        <v>85</v>
      </c>
      <c r="E117" s="462" t="s">
        <v>85</v>
      </c>
      <c r="F117" s="462" t="s">
        <v>85</v>
      </c>
      <c r="G117" s="462" t="s">
        <v>85</v>
      </c>
      <c r="H117" s="462" t="s">
        <v>85</v>
      </c>
      <c r="I117" s="334"/>
    </row>
    <row r="118" spans="1:9" x14ac:dyDescent="0.2">
      <c r="A118" s="334"/>
      <c r="B118" s="311" t="s">
        <v>131</v>
      </c>
      <c r="C118" s="312" t="s">
        <v>50</v>
      </c>
      <c r="D118" s="310"/>
      <c r="E118" s="310"/>
      <c r="F118" s="310"/>
      <c r="G118" s="310"/>
      <c r="H118" s="310"/>
      <c r="I118" s="334"/>
    </row>
    <row r="119" spans="1:9" x14ac:dyDescent="0.2">
      <c r="A119" s="334"/>
      <c r="B119" s="308" t="s">
        <v>130</v>
      </c>
      <c r="C119" s="309" t="s">
        <v>61</v>
      </c>
      <c r="D119" s="462" t="s">
        <v>85</v>
      </c>
      <c r="E119" s="462" t="s">
        <v>85</v>
      </c>
      <c r="F119" s="462" t="s">
        <v>85</v>
      </c>
      <c r="G119" s="462" t="s">
        <v>85</v>
      </c>
      <c r="H119" s="462" t="s">
        <v>85</v>
      </c>
      <c r="I119" s="334"/>
    </row>
    <row r="120" spans="1:9" x14ac:dyDescent="0.2">
      <c r="A120" s="334"/>
      <c r="B120" s="334"/>
      <c r="C120" s="334"/>
      <c r="D120" s="347"/>
      <c r="E120" s="347"/>
      <c r="F120" s="347"/>
      <c r="G120" s="347"/>
      <c r="H120" s="347"/>
      <c r="I120" s="334"/>
    </row>
    <row r="121" spans="1:9" ht="15" x14ac:dyDescent="0.25">
      <c r="A121" s="332"/>
      <c r="B121" s="331" t="s">
        <v>205</v>
      </c>
      <c r="C121" s="332"/>
      <c r="D121" s="346"/>
      <c r="E121" s="346"/>
      <c r="F121" s="346"/>
      <c r="G121" s="346"/>
      <c r="H121" s="346"/>
      <c r="I121" s="332"/>
    </row>
    <row r="122" spans="1:9" x14ac:dyDescent="0.2">
      <c r="A122" s="332"/>
      <c r="B122" s="308" t="s">
        <v>119</v>
      </c>
      <c r="C122" s="309" t="s">
        <v>120</v>
      </c>
      <c r="D122" s="310"/>
      <c r="E122" s="310"/>
      <c r="F122" s="310"/>
      <c r="G122" s="310"/>
      <c r="H122" s="310"/>
      <c r="I122" s="332"/>
    </row>
    <row r="123" spans="1:9" x14ac:dyDescent="0.2">
      <c r="A123" s="332"/>
      <c r="B123" s="308" t="s">
        <v>121</v>
      </c>
      <c r="C123" s="309" t="s">
        <v>122</v>
      </c>
      <c r="D123" s="310"/>
      <c r="E123" s="310"/>
      <c r="F123" s="310"/>
      <c r="G123" s="310"/>
      <c r="H123" s="310"/>
      <c r="I123" s="332"/>
    </row>
    <row r="124" spans="1:9" x14ac:dyDescent="0.2">
      <c r="A124" s="332"/>
      <c r="B124" s="308" t="s">
        <v>123</v>
      </c>
      <c r="C124" s="309" t="s">
        <v>61</v>
      </c>
      <c r="D124" s="106" t="s">
        <v>60</v>
      </c>
      <c r="E124" s="106" t="s">
        <v>60</v>
      </c>
      <c r="F124" s="106" t="s">
        <v>60</v>
      </c>
      <c r="G124" s="106" t="s">
        <v>60</v>
      </c>
      <c r="H124" s="106" t="s">
        <v>60</v>
      </c>
      <c r="I124" s="332"/>
    </row>
    <row r="125" spans="1:9" x14ac:dyDescent="0.2">
      <c r="A125" s="332"/>
      <c r="B125" s="308" t="s">
        <v>125</v>
      </c>
      <c r="C125" s="309" t="s">
        <v>61</v>
      </c>
      <c r="D125" s="106" t="s">
        <v>58</v>
      </c>
      <c r="E125" s="106" t="s">
        <v>58</v>
      </c>
      <c r="F125" s="106" t="s">
        <v>58</v>
      </c>
      <c r="G125" s="106" t="s">
        <v>58</v>
      </c>
      <c r="H125" s="106" t="s">
        <v>58</v>
      </c>
      <c r="I125" s="332"/>
    </row>
    <row r="126" spans="1:9" x14ac:dyDescent="0.2">
      <c r="A126" s="332"/>
      <c r="B126" s="308" t="s">
        <v>126</v>
      </c>
      <c r="C126" s="309" t="s">
        <v>61</v>
      </c>
      <c r="D126" s="106" t="s">
        <v>64</v>
      </c>
      <c r="E126" s="106" t="s">
        <v>64</v>
      </c>
      <c r="F126" s="106" t="s">
        <v>64</v>
      </c>
      <c r="G126" s="106" t="s">
        <v>64</v>
      </c>
      <c r="H126" s="106" t="s">
        <v>64</v>
      </c>
      <c r="I126" s="332"/>
    </row>
    <row r="127" spans="1:9" x14ac:dyDescent="0.2">
      <c r="A127" s="332"/>
      <c r="B127" s="311" t="s">
        <v>129</v>
      </c>
      <c r="C127" s="312" t="s">
        <v>49</v>
      </c>
      <c r="D127" s="310"/>
      <c r="E127" s="310"/>
      <c r="F127" s="310"/>
      <c r="G127" s="310"/>
      <c r="H127" s="310"/>
      <c r="I127" s="332"/>
    </row>
    <row r="128" spans="1:9" x14ac:dyDescent="0.2">
      <c r="A128" s="332"/>
      <c r="B128" s="308" t="s">
        <v>130</v>
      </c>
      <c r="C128" s="309" t="s">
        <v>61</v>
      </c>
      <c r="D128" s="462" t="s">
        <v>85</v>
      </c>
      <c r="E128" s="462" t="s">
        <v>85</v>
      </c>
      <c r="F128" s="462" t="s">
        <v>85</v>
      </c>
      <c r="G128" s="462" t="s">
        <v>85</v>
      </c>
      <c r="H128" s="462" t="s">
        <v>85</v>
      </c>
      <c r="I128" s="332"/>
    </row>
    <row r="129" spans="1:9" x14ac:dyDescent="0.2">
      <c r="A129" s="332"/>
      <c r="B129" s="311" t="s">
        <v>131</v>
      </c>
      <c r="C129" s="312" t="s">
        <v>50</v>
      </c>
      <c r="D129" s="310"/>
      <c r="E129" s="310"/>
      <c r="F129" s="310"/>
      <c r="G129" s="310"/>
      <c r="H129" s="310"/>
      <c r="I129" s="332"/>
    </row>
    <row r="130" spans="1:9" x14ac:dyDescent="0.2">
      <c r="A130" s="332"/>
      <c r="B130" s="308" t="s">
        <v>130</v>
      </c>
      <c r="C130" s="309" t="s">
        <v>61</v>
      </c>
      <c r="D130" s="462" t="s">
        <v>85</v>
      </c>
      <c r="E130" s="462" t="s">
        <v>85</v>
      </c>
      <c r="F130" s="462" t="s">
        <v>85</v>
      </c>
      <c r="G130" s="462" t="s">
        <v>85</v>
      </c>
      <c r="H130" s="462" t="s">
        <v>85</v>
      </c>
      <c r="I130" s="332"/>
    </row>
    <row r="131" spans="1:9" x14ac:dyDescent="0.2">
      <c r="A131" s="332"/>
      <c r="D131" s="313"/>
      <c r="E131" s="313"/>
      <c r="F131" s="313"/>
      <c r="G131" s="313"/>
      <c r="H131" s="313"/>
      <c r="I131" s="332"/>
    </row>
    <row r="132" spans="1:9" ht="15" x14ac:dyDescent="0.25">
      <c r="A132" s="332"/>
      <c r="B132" s="331" t="s">
        <v>206</v>
      </c>
      <c r="C132" s="332"/>
      <c r="D132" s="346"/>
      <c r="E132" s="346"/>
      <c r="F132" s="346"/>
      <c r="G132" s="346"/>
      <c r="H132" s="346"/>
      <c r="I132" s="332"/>
    </row>
    <row r="133" spans="1:9" x14ac:dyDescent="0.2">
      <c r="A133" s="332"/>
      <c r="B133" s="308" t="s">
        <v>119</v>
      </c>
      <c r="C133" s="309" t="s">
        <v>120</v>
      </c>
      <c r="D133" s="310"/>
      <c r="E133" s="310"/>
      <c r="F133" s="310"/>
      <c r="G133" s="310"/>
      <c r="H133" s="310"/>
      <c r="I133" s="332"/>
    </row>
    <row r="134" spans="1:9" x14ac:dyDescent="0.2">
      <c r="A134" s="332"/>
      <c r="B134" s="308" t="s">
        <v>121</v>
      </c>
      <c r="C134" s="309" t="s">
        <v>122</v>
      </c>
      <c r="D134" s="310"/>
      <c r="E134" s="310"/>
      <c r="F134" s="310"/>
      <c r="G134" s="310"/>
      <c r="H134" s="310"/>
      <c r="I134" s="332"/>
    </row>
    <row r="135" spans="1:9" x14ac:dyDescent="0.2">
      <c r="A135" s="332"/>
      <c r="B135" s="308" t="s">
        <v>123</v>
      </c>
      <c r="C135" s="309" t="s">
        <v>61</v>
      </c>
      <c r="D135" s="106" t="s">
        <v>60</v>
      </c>
      <c r="E135" s="106" t="s">
        <v>60</v>
      </c>
      <c r="F135" s="106" t="s">
        <v>60</v>
      </c>
      <c r="G135" s="106" t="s">
        <v>60</v>
      </c>
      <c r="H135" s="106" t="s">
        <v>60</v>
      </c>
      <c r="I135" s="332"/>
    </row>
    <row r="136" spans="1:9" x14ac:dyDescent="0.2">
      <c r="A136" s="332"/>
      <c r="B136" s="308" t="s">
        <v>125</v>
      </c>
      <c r="C136" s="309" t="s">
        <v>61</v>
      </c>
      <c r="D136" s="106" t="s">
        <v>57</v>
      </c>
      <c r="E136" s="106" t="s">
        <v>57</v>
      </c>
      <c r="F136" s="106" t="s">
        <v>57</v>
      </c>
      <c r="G136" s="106" t="s">
        <v>57</v>
      </c>
      <c r="H136" s="106" t="s">
        <v>57</v>
      </c>
      <c r="I136" s="332"/>
    </row>
    <row r="137" spans="1:9" x14ac:dyDescent="0.2">
      <c r="A137" s="332"/>
      <c r="B137" s="308" t="s">
        <v>126</v>
      </c>
      <c r="C137" s="309" t="s">
        <v>61</v>
      </c>
      <c r="D137" s="106" t="s">
        <v>64</v>
      </c>
      <c r="E137" s="106" t="s">
        <v>64</v>
      </c>
      <c r="F137" s="106" t="s">
        <v>64</v>
      </c>
      <c r="G137" s="106" t="s">
        <v>64</v>
      </c>
      <c r="H137" s="106" t="s">
        <v>64</v>
      </c>
      <c r="I137" s="332"/>
    </row>
    <row r="138" spans="1:9" x14ac:dyDescent="0.2">
      <c r="A138" s="332"/>
      <c r="B138" s="311" t="s">
        <v>129</v>
      </c>
      <c r="C138" s="312" t="s">
        <v>49</v>
      </c>
      <c r="D138" s="310"/>
      <c r="E138" s="310"/>
      <c r="F138" s="310"/>
      <c r="G138" s="310"/>
      <c r="H138" s="310"/>
      <c r="I138" s="332"/>
    </row>
    <row r="139" spans="1:9" x14ac:dyDescent="0.2">
      <c r="A139" s="332"/>
      <c r="B139" s="308" t="s">
        <v>130</v>
      </c>
      <c r="C139" s="309" t="s">
        <v>61</v>
      </c>
      <c r="D139" s="462" t="s">
        <v>85</v>
      </c>
      <c r="E139" s="462" t="s">
        <v>85</v>
      </c>
      <c r="F139" s="462" t="s">
        <v>85</v>
      </c>
      <c r="G139" s="462" t="s">
        <v>85</v>
      </c>
      <c r="H139" s="462" t="s">
        <v>85</v>
      </c>
      <c r="I139" s="332"/>
    </row>
    <row r="140" spans="1:9" x14ac:dyDescent="0.2">
      <c r="A140" s="332"/>
      <c r="B140" s="311" t="s">
        <v>131</v>
      </c>
      <c r="C140" s="312" t="s">
        <v>50</v>
      </c>
      <c r="D140" s="310"/>
      <c r="E140" s="310"/>
      <c r="F140" s="310"/>
      <c r="G140" s="310"/>
      <c r="H140" s="310"/>
      <c r="I140" s="332"/>
    </row>
    <row r="141" spans="1:9" x14ac:dyDescent="0.2">
      <c r="A141" s="332"/>
      <c r="B141" s="308" t="s">
        <v>130</v>
      </c>
      <c r="C141" s="309" t="s">
        <v>61</v>
      </c>
      <c r="D141" s="462" t="s">
        <v>85</v>
      </c>
      <c r="E141" s="462" t="s">
        <v>85</v>
      </c>
      <c r="F141" s="462" t="s">
        <v>85</v>
      </c>
      <c r="G141" s="462" t="s">
        <v>85</v>
      </c>
      <c r="H141" s="462" t="s">
        <v>85</v>
      </c>
      <c r="I141" s="332"/>
    </row>
    <row r="142" spans="1:9" x14ac:dyDescent="0.2">
      <c r="A142" s="332"/>
      <c r="D142" s="314"/>
      <c r="E142" s="314"/>
      <c r="F142" s="314"/>
      <c r="G142" s="314"/>
      <c r="H142" s="314"/>
      <c r="I142" s="332"/>
    </row>
    <row r="143" spans="1:9" ht="15" x14ac:dyDescent="0.25">
      <c r="A143" s="332"/>
      <c r="B143" s="331" t="s">
        <v>207</v>
      </c>
      <c r="C143" s="332"/>
      <c r="D143" s="346"/>
      <c r="E143" s="346"/>
      <c r="F143" s="346"/>
      <c r="G143" s="346"/>
      <c r="H143" s="346"/>
      <c r="I143" s="332"/>
    </row>
    <row r="144" spans="1:9" x14ac:dyDescent="0.2">
      <c r="A144" s="332"/>
      <c r="B144" s="308" t="s">
        <v>119</v>
      </c>
      <c r="C144" s="309" t="s">
        <v>120</v>
      </c>
      <c r="D144" s="310"/>
      <c r="E144" s="310"/>
      <c r="F144" s="310"/>
      <c r="G144" s="310"/>
      <c r="H144" s="310"/>
      <c r="I144" s="332"/>
    </row>
    <row r="145" spans="1:9" x14ac:dyDescent="0.2">
      <c r="A145" s="332"/>
      <c r="B145" s="308" t="s">
        <v>121</v>
      </c>
      <c r="C145" s="309" t="s">
        <v>122</v>
      </c>
      <c r="D145" s="310"/>
      <c r="E145" s="310"/>
      <c r="F145" s="310"/>
      <c r="G145" s="310"/>
      <c r="H145" s="310"/>
      <c r="I145" s="332"/>
    </row>
    <row r="146" spans="1:9" x14ac:dyDescent="0.2">
      <c r="A146" s="332"/>
      <c r="B146" s="308" t="s">
        <v>123</v>
      </c>
      <c r="C146" s="309" t="s">
        <v>61</v>
      </c>
      <c r="D146" s="106" t="s">
        <v>60</v>
      </c>
      <c r="E146" s="106" t="s">
        <v>60</v>
      </c>
      <c r="F146" s="106" t="s">
        <v>60</v>
      </c>
      <c r="G146" s="106" t="s">
        <v>60</v>
      </c>
      <c r="H146" s="106" t="s">
        <v>60</v>
      </c>
      <c r="I146" s="332"/>
    </row>
    <row r="147" spans="1:9" x14ac:dyDescent="0.2">
      <c r="A147" s="332"/>
      <c r="B147" s="308" t="s">
        <v>125</v>
      </c>
      <c r="C147" s="309" t="s">
        <v>61</v>
      </c>
      <c r="D147" s="106" t="s">
        <v>56</v>
      </c>
      <c r="E147" s="106" t="s">
        <v>56</v>
      </c>
      <c r="F147" s="106" t="s">
        <v>56</v>
      </c>
      <c r="G147" s="106" t="s">
        <v>56</v>
      </c>
      <c r="H147" s="106" t="s">
        <v>56</v>
      </c>
      <c r="I147" s="332"/>
    </row>
    <row r="148" spans="1:9" x14ac:dyDescent="0.2">
      <c r="A148" s="332"/>
      <c r="B148" s="308" t="s">
        <v>126</v>
      </c>
      <c r="C148" s="309" t="s">
        <v>61</v>
      </c>
      <c r="D148" s="106" t="s">
        <v>64</v>
      </c>
      <c r="E148" s="106" t="s">
        <v>64</v>
      </c>
      <c r="F148" s="106" t="s">
        <v>64</v>
      </c>
      <c r="G148" s="106" t="s">
        <v>64</v>
      </c>
      <c r="H148" s="106" t="s">
        <v>64</v>
      </c>
      <c r="I148" s="332"/>
    </row>
    <row r="149" spans="1:9" x14ac:dyDescent="0.2">
      <c r="A149" s="332"/>
      <c r="B149" s="311" t="s">
        <v>129</v>
      </c>
      <c r="C149" s="312" t="s">
        <v>49</v>
      </c>
      <c r="D149" s="310"/>
      <c r="E149" s="310"/>
      <c r="F149" s="310"/>
      <c r="G149" s="310"/>
      <c r="H149" s="310"/>
      <c r="I149" s="332"/>
    </row>
    <row r="150" spans="1:9" x14ac:dyDescent="0.2">
      <c r="A150" s="332"/>
      <c r="B150" s="308" t="s">
        <v>130</v>
      </c>
      <c r="C150" s="309" t="s">
        <v>61</v>
      </c>
      <c r="D150" s="462" t="s">
        <v>85</v>
      </c>
      <c r="E150" s="462" t="s">
        <v>85</v>
      </c>
      <c r="F150" s="462" t="s">
        <v>85</v>
      </c>
      <c r="G150" s="462" t="s">
        <v>85</v>
      </c>
      <c r="H150" s="462" t="s">
        <v>85</v>
      </c>
      <c r="I150" s="332"/>
    </row>
    <row r="151" spans="1:9" x14ac:dyDescent="0.2">
      <c r="A151" s="332"/>
      <c r="B151" s="311" t="s">
        <v>131</v>
      </c>
      <c r="C151" s="312" t="s">
        <v>50</v>
      </c>
      <c r="D151" s="310"/>
      <c r="E151" s="310"/>
      <c r="F151" s="310"/>
      <c r="G151" s="310"/>
      <c r="H151" s="310"/>
      <c r="I151" s="332"/>
    </row>
    <row r="152" spans="1:9" x14ac:dyDescent="0.2">
      <c r="A152" s="332"/>
      <c r="B152" s="308" t="s">
        <v>130</v>
      </c>
      <c r="C152" s="309" t="s">
        <v>61</v>
      </c>
      <c r="D152" s="462" t="s">
        <v>85</v>
      </c>
      <c r="E152" s="462" t="s">
        <v>85</v>
      </c>
      <c r="F152" s="462" t="s">
        <v>85</v>
      </c>
      <c r="G152" s="462" t="s">
        <v>85</v>
      </c>
      <c r="H152" s="462" t="s">
        <v>85</v>
      </c>
      <c r="I152" s="332"/>
    </row>
    <row r="153" spans="1:9" x14ac:dyDescent="0.2">
      <c r="A153" s="332"/>
      <c r="B153" s="332"/>
      <c r="C153" s="332"/>
      <c r="D153" s="333"/>
      <c r="E153" s="333"/>
      <c r="F153" s="333"/>
      <c r="G153" s="333"/>
      <c r="H153" s="333"/>
      <c r="I153" s="332"/>
    </row>
    <row r="154" spans="1:9" x14ac:dyDescent="0.2">
      <c r="D154" s="314"/>
      <c r="E154" s="314"/>
      <c r="F154" s="314"/>
      <c r="G154" s="314"/>
      <c r="H154" s="314"/>
    </row>
    <row r="155" spans="1:9" x14ac:dyDescent="0.2">
      <c r="D155" s="314"/>
      <c r="E155" s="314"/>
      <c r="F155" s="314"/>
      <c r="G155" s="314"/>
      <c r="H155" s="314"/>
    </row>
    <row r="156" spans="1:9" x14ac:dyDescent="0.2">
      <c r="D156" s="314"/>
      <c r="E156" s="314"/>
      <c r="F156" s="314"/>
      <c r="G156" s="314"/>
      <c r="H156" s="314"/>
    </row>
    <row r="157" spans="1:9" x14ac:dyDescent="0.2">
      <c r="D157" s="314"/>
      <c r="E157" s="314"/>
      <c r="F157" s="314"/>
      <c r="G157" s="314"/>
      <c r="H157" s="314"/>
    </row>
    <row r="158" spans="1:9" x14ac:dyDescent="0.2">
      <c r="D158" s="314"/>
      <c r="E158" s="314"/>
      <c r="F158" s="314"/>
      <c r="G158" s="314"/>
      <c r="H158" s="314"/>
    </row>
    <row r="159" spans="1:9" x14ac:dyDescent="0.2">
      <c r="D159" s="314"/>
      <c r="E159" s="314"/>
      <c r="F159" s="314"/>
      <c r="G159" s="314"/>
      <c r="H159" s="314"/>
    </row>
    <row r="160" spans="1:9" x14ac:dyDescent="0.2">
      <c r="D160" s="314"/>
      <c r="E160" s="314"/>
      <c r="F160" s="314"/>
      <c r="G160" s="314"/>
      <c r="H160" s="314"/>
    </row>
    <row r="161" spans="2:8" x14ac:dyDescent="0.2">
      <c r="D161" s="314"/>
      <c r="E161" s="314"/>
      <c r="F161" s="314"/>
      <c r="G161" s="314"/>
      <c r="H161" s="314"/>
    </row>
    <row r="162" spans="2:8" x14ac:dyDescent="0.2">
      <c r="D162" s="314"/>
      <c r="E162" s="314"/>
      <c r="F162" s="314"/>
      <c r="G162" s="314"/>
      <c r="H162" s="314"/>
    </row>
    <row r="163" spans="2:8" x14ac:dyDescent="0.2">
      <c r="D163" s="314"/>
      <c r="E163" s="314"/>
      <c r="F163" s="314"/>
      <c r="G163" s="314"/>
      <c r="H163" s="314"/>
    </row>
    <row r="164" spans="2:8" x14ac:dyDescent="0.2">
      <c r="D164" s="314"/>
      <c r="E164" s="314"/>
      <c r="F164" s="314"/>
      <c r="G164" s="314"/>
      <c r="H164" s="314"/>
    </row>
    <row r="165" spans="2:8" x14ac:dyDescent="0.2">
      <c r="D165" s="314"/>
      <c r="E165" s="314"/>
      <c r="F165" s="314"/>
      <c r="G165" s="314"/>
      <c r="H165" s="314"/>
    </row>
    <row r="166" spans="2:8" x14ac:dyDescent="0.2">
      <c r="D166" s="314"/>
      <c r="E166" s="314"/>
      <c r="F166" s="314"/>
      <c r="G166" s="314"/>
      <c r="H166" s="314"/>
    </row>
    <row r="167" spans="2:8" x14ac:dyDescent="0.2">
      <c r="D167" s="314"/>
      <c r="E167" s="314"/>
      <c r="F167" s="314"/>
      <c r="G167" s="314"/>
      <c r="H167" s="314"/>
    </row>
    <row r="168" spans="2:8" x14ac:dyDescent="0.2">
      <c r="D168" s="314"/>
      <c r="E168" s="314"/>
      <c r="F168" s="314"/>
      <c r="G168" s="314"/>
      <c r="H168" s="314"/>
    </row>
    <row r="169" spans="2:8" x14ac:dyDescent="0.2">
      <c r="D169" s="314"/>
      <c r="E169" s="314"/>
      <c r="F169" s="314"/>
      <c r="G169" s="314"/>
      <c r="H169" s="314"/>
    </row>
    <row r="170" spans="2:8" x14ac:dyDescent="0.2">
      <c r="D170" s="314"/>
      <c r="E170" s="314"/>
      <c r="F170" s="314"/>
      <c r="G170" s="314"/>
      <c r="H170" s="314"/>
    </row>
    <row r="171" spans="2:8" x14ac:dyDescent="0.2">
      <c r="D171" s="314"/>
      <c r="E171" s="314"/>
      <c r="F171" s="314"/>
      <c r="G171" s="314"/>
      <c r="H171" s="314"/>
    </row>
    <row r="172" spans="2:8" x14ac:dyDescent="0.2">
      <c r="D172" s="314"/>
      <c r="E172" s="314"/>
      <c r="F172" s="314"/>
      <c r="G172" s="314"/>
      <c r="H172" s="314"/>
    </row>
    <row r="173" spans="2:8" ht="15" thickBot="1" x14ac:dyDescent="0.25">
      <c r="D173" s="314"/>
      <c r="E173" s="314"/>
      <c r="F173" s="314"/>
      <c r="G173" s="314"/>
      <c r="H173" s="314"/>
    </row>
    <row r="174" spans="2:8" customFormat="1" x14ac:dyDescent="0.2">
      <c r="B174" s="427" t="s">
        <v>147</v>
      </c>
      <c r="C174" s="453"/>
    </row>
    <row r="175" spans="2:8" customFormat="1" x14ac:dyDescent="0.2">
      <c r="B175" s="428"/>
      <c r="C175" s="454"/>
    </row>
    <row r="176" spans="2:8" customFormat="1" x14ac:dyDescent="0.2">
      <c r="B176" s="429" t="s">
        <v>59</v>
      </c>
      <c r="C176" s="455"/>
    </row>
    <row r="177" spans="2:3" customFormat="1" x14ac:dyDescent="0.2">
      <c r="B177" s="430" t="s">
        <v>60</v>
      </c>
      <c r="C177" s="456"/>
    </row>
    <row r="178" spans="2:3" customFormat="1" x14ac:dyDescent="0.2">
      <c r="B178" s="458"/>
      <c r="C178" s="459"/>
    </row>
    <row r="179" spans="2:3" customFormat="1" x14ac:dyDescent="0.2">
      <c r="B179" s="429" t="s">
        <v>59</v>
      </c>
      <c r="C179" s="440" t="s">
        <v>60</v>
      </c>
    </row>
    <row r="180" spans="2:3" customFormat="1" x14ac:dyDescent="0.2">
      <c r="B180" s="432" t="s">
        <v>56</v>
      </c>
      <c r="C180" s="440" t="s">
        <v>56</v>
      </c>
    </row>
    <row r="181" spans="2:3" customFormat="1" x14ac:dyDescent="0.2">
      <c r="B181" s="432" t="s">
        <v>58</v>
      </c>
      <c r="C181" s="440" t="s">
        <v>58</v>
      </c>
    </row>
    <row r="182" spans="2:3" customFormat="1" x14ac:dyDescent="0.2">
      <c r="B182" s="432"/>
      <c r="C182" s="440" t="s">
        <v>57</v>
      </c>
    </row>
    <row r="183" spans="2:3" customFormat="1" x14ac:dyDescent="0.2">
      <c r="B183" s="458"/>
      <c r="C183" s="459"/>
    </row>
    <row r="184" spans="2:3" customFormat="1" x14ac:dyDescent="0.2">
      <c r="B184" s="457" t="s">
        <v>64</v>
      </c>
      <c r="C184" s="454"/>
    </row>
    <row r="185" spans="2:3" customFormat="1" x14ac:dyDescent="0.2">
      <c r="B185" s="457" t="s">
        <v>68</v>
      </c>
      <c r="C185" s="454"/>
    </row>
    <row r="186" spans="2:3" customFormat="1" x14ac:dyDescent="0.2">
      <c r="B186" s="458"/>
      <c r="C186" s="459"/>
    </row>
    <row r="187" spans="2:3" customFormat="1" x14ac:dyDescent="0.2">
      <c r="B187" s="429" t="s">
        <v>74</v>
      </c>
      <c r="C187" s="455"/>
    </row>
    <row r="188" spans="2:3" customFormat="1" x14ac:dyDescent="0.2">
      <c r="B188" s="430" t="s">
        <v>75</v>
      </c>
      <c r="C188" s="456"/>
    </row>
    <row r="189" spans="2:3" customFormat="1" x14ac:dyDescent="0.2">
      <c r="B189" s="432"/>
      <c r="C189" s="454"/>
    </row>
    <row r="190" spans="2:3" customFormat="1" x14ac:dyDescent="0.2">
      <c r="B190" s="450" t="s">
        <v>85</v>
      </c>
      <c r="C190" s="461"/>
    </row>
    <row r="191" spans="2:3" customFormat="1" ht="15" thickBot="1" x14ac:dyDescent="0.25">
      <c r="B191" s="449" t="s">
        <v>82</v>
      </c>
      <c r="C191" s="460"/>
    </row>
    <row r="203" s="315" customFormat="1" ht="11.25" x14ac:dyDescent="0.2"/>
    <row r="204" s="315" customFormat="1" ht="11.25" x14ac:dyDescent="0.2"/>
    <row r="205" s="315" customFormat="1" ht="11.25" x14ac:dyDescent="0.2"/>
    <row r="206" s="315" customFormat="1" ht="11.25" x14ac:dyDescent="0.2"/>
    <row r="207" s="315" customFormat="1" ht="11.25" x14ac:dyDescent="0.2"/>
    <row r="208" s="315" customFormat="1" ht="11.25" x14ac:dyDescent="0.2"/>
    <row r="209" s="315" customFormat="1" ht="11.25" x14ac:dyDescent="0.2"/>
    <row r="210" s="315" customFormat="1" ht="11.25" x14ac:dyDescent="0.2"/>
    <row r="211" s="315" customFormat="1" ht="11.25" x14ac:dyDescent="0.2"/>
    <row r="212" s="315" customFormat="1" ht="11.25" x14ac:dyDescent="0.2"/>
    <row r="213" s="315" customFormat="1" ht="11.25" x14ac:dyDescent="0.2"/>
    <row r="214" s="315" customFormat="1" ht="11.25" x14ac:dyDescent="0.2"/>
    <row r="215" s="315" customFormat="1" ht="11.25" x14ac:dyDescent="0.2"/>
    <row r="216" s="315" customFormat="1" ht="11.25" x14ac:dyDescent="0.2"/>
    <row r="217" s="315" customFormat="1" ht="11.25" x14ac:dyDescent="0.2"/>
    <row r="218" s="315" customFormat="1" ht="11.25" x14ac:dyDescent="0.2"/>
    <row r="219" s="315" customFormat="1" ht="11.25" x14ac:dyDescent="0.2"/>
  </sheetData>
  <sheetProtection algorithmName="SHA-512" hashValue="vz3U74AX/al/7s+PYP1AgiCiqH2dUdjepwefNlKjXfr8tU0D0pGC4jcRv5eUIBjZoyK8FS7V9ioCl6FZDkt+nQ==" saltValue="wMXXzAHiuTjnTVwsQ/tk+g==" spinCount="100000" sheet="1" objects="1" scenarios="1"/>
  <autoFilter ref="A12:I202" xr:uid="{00000000-0009-0000-0000-000002000000}"/>
  <phoneticPr fontId="11" type="noConversion"/>
  <conditionalFormatting sqref="D16:H16">
    <cfRule type="containsText" dxfId="231" priority="149" operator="containsText" text="tatsächl.">
      <formula>NOT(ISERROR(SEARCH("tatsächl.",D16)))</formula>
    </cfRule>
    <cfRule type="containsText" dxfId="230" priority="150" operator="containsText" text="Richtwert">
      <formula>NOT(ISERROR(SEARCH("Richtwert",D16)))</formula>
    </cfRule>
  </conditionalFormatting>
  <conditionalFormatting sqref="D20:H20">
    <cfRule type="containsText" dxfId="229" priority="144" operator="containsText" text="Richtwert">
      <formula>NOT(ISERROR(SEARCH("Richtwert",D20)))</formula>
    </cfRule>
    <cfRule type="containsText" dxfId="228" priority="143" operator="containsText" text="tatsächl.">
      <formula>NOT(ISERROR(SEARCH("tatsächl.",D20)))</formula>
    </cfRule>
  </conditionalFormatting>
  <conditionalFormatting sqref="D22:H22">
    <cfRule type="containsText" dxfId="227" priority="142" operator="containsText" text="Richtwert">
      <formula>NOT(ISERROR(SEARCH("Richtwert",D22)))</formula>
    </cfRule>
    <cfRule type="containsText" dxfId="226" priority="141" operator="containsText" text="tatsächl.">
      <formula>NOT(ISERROR(SEARCH("tatsächl.",D22)))</formula>
    </cfRule>
  </conditionalFormatting>
  <conditionalFormatting sqref="D26:H26">
    <cfRule type="containsText" dxfId="225" priority="140" operator="containsText" text="Richtwert">
      <formula>NOT(ISERROR(SEARCH("Richtwert",D26)))</formula>
    </cfRule>
    <cfRule type="containsText" dxfId="224" priority="139" operator="containsText" text="tatsächl.">
      <formula>NOT(ISERROR(SEARCH("tatsächl.",D26)))</formula>
    </cfRule>
  </conditionalFormatting>
  <conditionalFormatting sqref="D28:H28">
    <cfRule type="containsText" dxfId="223" priority="138" operator="containsText" text="Richtwert">
      <formula>NOT(ISERROR(SEARCH("Richtwert",D28)))</formula>
    </cfRule>
    <cfRule type="containsText" dxfId="222" priority="137" operator="containsText" text="tatsächl.">
      <formula>NOT(ISERROR(SEARCH("tatsächl.",D28)))</formula>
    </cfRule>
  </conditionalFormatting>
  <conditionalFormatting sqref="D37:H37">
    <cfRule type="containsText" dxfId="221" priority="136" operator="containsText" text="Richtwert">
      <formula>NOT(ISERROR(SEARCH("Richtwert",D37)))</formula>
    </cfRule>
    <cfRule type="containsText" dxfId="220" priority="135" operator="containsText" text="tatsächl.">
      <formula>NOT(ISERROR(SEARCH("tatsächl.",D37)))</formula>
    </cfRule>
  </conditionalFormatting>
  <conditionalFormatting sqref="D39:H39">
    <cfRule type="containsText" dxfId="219" priority="134" operator="containsText" text="Richtwert">
      <formula>NOT(ISERROR(SEARCH("Richtwert",D39)))</formula>
    </cfRule>
    <cfRule type="containsText" dxfId="218" priority="133" operator="containsText" text="tatsächl.">
      <formula>NOT(ISERROR(SEARCH("tatsächl.",D39)))</formula>
    </cfRule>
  </conditionalFormatting>
  <conditionalFormatting sqref="D47:H47">
    <cfRule type="containsText" dxfId="217" priority="44" operator="containsText" text="Richtwert">
      <formula>NOT(ISERROR(SEARCH("Richtwert",D47)))</formula>
    </cfRule>
    <cfRule type="containsText" dxfId="216" priority="43" operator="containsText" text="tatsächl.">
      <formula>NOT(ISERROR(SEARCH("tatsächl.",D47)))</formula>
    </cfRule>
  </conditionalFormatting>
  <conditionalFormatting sqref="D49:H49">
    <cfRule type="containsText" dxfId="215" priority="42" operator="containsText" text="Richtwert">
      <formula>NOT(ISERROR(SEARCH("Richtwert",D49)))</formula>
    </cfRule>
    <cfRule type="containsText" dxfId="214" priority="41" operator="containsText" text="tatsächl.">
      <formula>NOT(ISERROR(SEARCH("tatsächl.",D49)))</formula>
    </cfRule>
  </conditionalFormatting>
  <conditionalFormatting sqref="D57:H57">
    <cfRule type="containsText" dxfId="213" priority="40" operator="containsText" text="Richtwert">
      <formula>NOT(ISERROR(SEARCH("Richtwert",D57)))</formula>
    </cfRule>
    <cfRule type="containsText" dxfId="212" priority="39" operator="containsText" text="tatsächl.">
      <formula>NOT(ISERROR(SEARCH("tatsächl.",D57)))</formula>
    </cfRule>
  </conditionalFormatting>
  <conditionalFormatting sqref="D59:H59">
    <cfRule type="containsText" dxfId="211" priority="38" operator="containsText" text="Richtwert">
      <formula>NOT(ISERROR(SEARCH("Richtwert",D59)))</formula>
    </cfRule>
    <cfRule type="containsText" dxfId="210" priority="37" operator="containsText" text="tatsächl.">
      <formula>NOT(ISERROR(SEARCH("tatsächl.",D59)))</formula>
    </cfRule>
  </conditionalFormatting>
  <conditionalFormatting sqref="D67:H67">
    <cfRule type="containsText" dxfId="209" priority="36" operator="containsText" text="Richtwert">
      <formula>NOT(ISERROR(SEARCH("Richtwert",D67)))</formula>
    </cfRule>
    <cfRule type="containsText" dxfId="208" priority="35" operator="containsText" text="tatsächl.">
      <formula>NOT(ISERROR(SEARCH("tatsächl.",D67)))</formula>
    </cfRule>
  </conditionalFormatting>
  <conditionalFormatting sqref="D69:H69">
    <cfRule type="containsText" dxfId="207" priority="34" operator="containsText" text="Richtwert">
      <formula>NOT(ISERROR(SEARCH("Richtwert",D69)))</formula>
    </cfRule>
    <cfRule type="containsText" dxfId="206" priority="33" operator="containsText" text="tatsächl.">
      <formula>NOT(ISERROR(SEARCH("tatsächl.",D69)))</formula>
    </cfRule>
  </conditionalFormatting>
  <conditionalFormatting sqref="D77:H77">
    <cfRule type="containsText" dxfId="205" priority="32" operator="containsText" text="Richtwert">
      <formula>NOT(ISERROR(SEARCH("Richtwert",D77)))</formula>
    </cfRule>
    <cfRule type="containsText" dxfId="204" priority="31" operator="containsText" text="tatsächl.">
      <formula>NOT(ISERROR(SEARCH("tatsächl.",D77)))</formula>
    </cfRule>
  </conditionalFormatting>
  <conditionalFormatting sqref="D79:H79">
    <cfRule type="containsText" dxfId="203" priority="29" operator="containsText" text="tatsächl.">
      <formula>NOT(ISERROR(SEARCH("tatsächl.",D79)))</formula>
    </cfRule>
    <cfRule type="containsText" dxfId="202" priority="30" operator="containsText" text="Richtwert">
      <formula>NOT(ISERROR(SEARCH("Richtwert",D79)))</formula>
    </cfRule>
  </conditionalFormatting>
  <conditionalFormatting sqref="D87:H87">
    <cfRule type="containsText" dxfId="201" priority="28" operator="containsText" text="Richtwert">
      <formula>NOT(ISERROR(SEARCH("Richtwert",D87)))</formula>
    </cfRule>
    <cfRule type="containsText" dxfId="200" priority="27" operator="containsText" text="tatsächl.">
      <formula>NOT(ISERROR(SEARCH("tatsächl.",D87)))</formula>
    </cfRule>
  </conditionalFormatting>
  <conditionalFormatting sqref="D89:H89">
    <cfRule type="containsText" dxfId="199" priority="26" operator="containsText" text="Richtwert">
      <formula>NOT(ISERROR(SEARCH("Richtwert",D89)))</formula>
    </cfRule>
    <cfRule type="containsText" dxfId="198" priority="25" operator="containsText" text="tatsächl.">
      <formula>NOT(ISERROR(SEARCH("tatsächl.",D89)))</formula>
    </cfRule>
  </conditionalFormatting>
  <conditionalFormatting sqref="D97:H97">
    <cfRule type="containsText" dxfId="197" priority="24" operator="containsText" text="Richtwert">
      <formula>NOT(ISERROR(SEARCH("Richtwert",D97)))</formula>
    </cfRule>
    <cfRule type="containsText" dxfId="196" priority="23" operator="containsText" text="tatsächl.">
      <formula>NOT(ISERROR(SEARCH("tatsächl.",D97)))</formula>
    </cfRule>
  </conditionalFormatting>
  <conditionalFormatting sqref="D99:H99">
    <cfRule type="containsText" dxfId="195" priority="22" operator="containsText" text="Richtwert">
      <formula>NOT(ISERROR(SEARCH("Richtwert",D99)))</formula>
    </cfRule>
    <cfRule type="containsText" dxfId="194" priority="21" operator="containsText" text="tatsächl.">
      <formula>NOT(ISERROR(SEARCH("tatsächl.",D99)))</formula>
    </cfRule>
  </conditionalFormatting>
  <conditionalFormatting sqref="D107:H107">
    <cfRule type="containsText" dxfId="193" priority="20" operator="containsText" text="Richtwert">
      <formula>NOT(ISERROR(SEARCH("Richtwert",D107)))</formula>
    </cfRule>
    <cfRule type="containsText" dxfId="192" priority="19" operator="containsText" text="tatsächl.">
      <formula>NOT(ISERROR(SEARCH("tatsächl.",D107)))</formula>
    </cfRule>
  </conditionalFormatting>
  <conditionalFormatting sqref="D109:H109">
    <cfRule type="containsText" dxfId="191" priority="18" operator="containsText" text="Richtwert">
      <formula>NOT(ISERROR(SEARCH("Richtwert",D109)))</formula>
    </cfRule>
    <cfRule type="containsText" dxfId="190" priority="17" operator="containsText" text="tatsächl.">
      <formula>NOT(ISERROR(SEARCH("tatsächl.",D109)))</formula>
    </cfRule>
  </conditionalFormatting>
  <conditionalFormatting sqref="D117:H117">
    <cfRule type="containsText" dxfId="189" priority="16" operator="containsText" text="Richtwert">
      <formula>NOT(ISERROR(SEARCH("Richtwert",D117)))</formula>
    </cfRule>
    <cfRule type="containsText" dxfId="188" priority="15" operator="containsText" text="tatsächl.">
      <formula>NOT(ISERROR(SEARCH("tatsächl.",D117)))</formula>
    </cfRule>
  </conditionalFormatting>
  <conditionalFormatting sqref="D119:H119">
    <cfRule type="containsText" dxfId="187" priority="14" operator="containsText" text="Richtwert">
      <formula>NOT(ISERROR(SEARCH("Richtwert",D119)))</formula>
    </cfRule>
    <cfRule type="containsText" dxfId="186" priority="13" operator="containsText" text="tatsächl.">
      <formula>NOT(ISERROR(SEARCH("tatsächl.",D119)))</formula>
    </cfRule>
  </conditionalFormatting>
  <conditionalFormatting sqref="D128:H128">
    <cfRule type="containsText" dxfId="185" priority="12" operator="containsText" text="Richtwert">
      <formula>NOT(ISERROR(SEARCH("Richtwert",D128)))</formula>
    </cfRule>
    <cfRule type="containsText" dxfId="184" priority="11" operator="containsText" text="tatsächl.">
      <formula>NOT(ISERROR(SEARCH("tatsächl.",D128)))</formula>
    </cfRule>
  </conditionalFormatting>
  <conditionalFormatting sqref="D130:H130">
    <cfRule type="containsText" dxfId="183" priority="10" operator="containsText" text="Richtwert">
      <formula>NOT(ISERROR(SEARCH("Richtwert",D130)))</formula>
    </cfRule>
    <cfRule type="containsText" dxfId="182" priority="9" operator="containsText" text="tatsächl.">
      <formula>NOT(ISERROR(SEARCH("tatsächl.",D130)))</formula>
    </cfRule>
  </conditionalFormatting>
  <conditionalFormatting sqref="D139:H139">
    <cfRule type="containsText" dxfId="181" priority="8" operator="containsText" text="Richtwert">
      <formula>NOT(ISERROR(SEARCH("Richtwert",D139)))</formula>
    </cfRule>
    <cfRule type="containsText" dxfId="180" priority="7" operator="containsText" text="tatsächl.">
      <formula>NOT(ISERROR(SEARCH("tatsächl.",D139)))</formula>
    </cfRule>
  </conditionalFormatting>
  <conditionalFormatting sqref="D141:H141">
    <cfRule type="containsText" dxfId="179" priority="6" operator="containsText" text="Richtwert">
      <formula>NOT(ISERROR(SEARCH("Richtwert",D141)))</formula>
    </cfRule>
    <cfRule type="containsText" dxfId="178" priority="5" operator="containsText" text="tatsächl.">
      <formula>NOT(ISERROR(SEARCH("tatsächl.",D141)))</formula>
    </cfRule>
  </conditionalFormatting>
  <conditionalFormatting sqref="D150:H150">
    <cfRule type="containsText" dxfId="177" priority="4" operator="containsText" text="Richtwert">
      <formula>NOT(ISERROR(SEARCH("Richtwert",D150)))</formula>
    </cfRule>
    <cfRule type="containsText" dxfId="176" priority="3" operator="containsText" text="tatsächl.">
      <formula>NOT(ISERROR(SEARCH("tatsächl.",D150)))</formula>
    </cfRule>
  </conditionalFormatting>
  <conditionalFormatting sqref="D152:H152">
    <cfRule type="containsText" dxfId="175" priority="1" operator="containsText" text="tatsächl.">
      <formula>NOT(ISERROR(SEARCH("tatsächl.",D152)))</formula>
    </cfRule>
    <cfRule type="containsText" dxfId="174" priority="2" operator="containsText" text="Richtwert">
      <formula>NOT(ISERROR(SEARCH("Richtwert",D152)))</formula>
    </cfRule>
  </conditionalFormatting>
  <dataValidations count="7">
    <dataValidation type="list" allowBlank="1" showInputMessage="1" showErrorMessage="1" sqref="D22:H23 D26:H26 D20:H20 D39:H39 D28:H28 D37:H37 D16:H17 D152:H152 D139:H139 D141:H141 D49:H49 D47:H47 D128:H128 D130:H130 D59:H59 D57:H57 D79:H79 D77:H77 D69:H69 D67:H67 D89:H89 D87:H87 D109:H109 D107:H107 D99:H99 D97:H97 D119:H119 D117:H117 D150:H150" xr:uid="{00000000-0002-0000-0200-000000000000}">
      <formula1>$B$190:$B$191</formula1>
    </dataValidation>
    <dataValidation type="list" allowBlank="1" showInputMessage="1" showErrorMessage="1" sqref="D103:H103 D93:H93 D83:H83 D146:H146 D63:H63 D73:H73 D43:H43 D33:H33 D124:H124 D135:H135 D113:H113 D53:H53" xr:uid="{00000000-0002-0000-0200-000001000000}">
      <formula1>$B$176:$B$177</formula1>
    </dataValidation>
    <dataValidation type="list" allowBlank="1" showInputMessage="1" showErrorMessage="1" sqref="D34:H34 D64:H64 D54:H54 D84:H84 D94:H94 D104:H104 D114:H114 D44:H44 D74:H74" xr:uid="{00000000-0002-0000-0200-000002000000}">
      <formula1>$B$180:$B$182</formula1>
    </dataValidation>
    <dataValidation type="list" allowBlank="1" showInputMessage="1" showErrorMessage="1" sqref="D35:H35 D45:H45 D126:H126 D55:H55 D65:H65 D137:H137 D85:H85 D95:H95 D105:H105 D115:H115 D148:H148 D75:H75" xr:uid="{00000000-0002-0000-0200-000003000000}">
      <formula1>$B$184:$B$185</formula1>
    </dataValidation>
    <dataValidation type="list" allowBlank="1" showInputMessage="1" showErrorMessage="1" sqref="D125:H125" xr:uid="{00000000-0002-0000-0200-000004000000}">
      <formula1>OFFSET($A$179,1,MATCH($D$124,$B$179:$C$179,0),3)</formula1>
    </dataValidation>
    <dataValidation type="list" allowBlank="1" showInputMessage="1" showErrorMessage="1" sqref="D136:H136" xr:uid="{00000000-0002-0000-0200-000007000000}">
      <formula1>OFFSET($A$179,1,MATCH($D$135,$B$179:$C$179,0),3)</formula1>
    </dataValidation>
    <dataValidation type="list" allowBlank="1" showInputMessage="1" showErrorMessage="1" sqref="D147:H147" xr:uid="{00000000-0002-0000-0200-00000A000000}">
      <formula1>OFFSET($A$179,1,MATCH($D$146,$B$179:$C$179,0),3)</formula1>
    </dataValidation>
  </dataValidations>
  <pageMargins left="0.78740157480314965" right="0.59055118110236227" top="0.98425196850393704" bottom="0.98425196850393704" header="0.51181102362204722" footer="0.51181102362204722"/>
  <pageSetup paperSize="9" scale="29" orientation="portrait" r:id="rId1"/>
  <headerFooter alignWithMargins="0">
    <oddHeader>&amp;R&amp;"Arial,Fett"&amp;8Jedele und Partner GmbH</oddHeader>
    <oddFooter>&amp;L&amp;8&amp;F   &amp;A   &amp;D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tabColor indexed="22"/>
    <pageSetUpPr fitToPage="1"/>
  </sheetPr>
  <dimension ref="A1:J204"/>
  <sheetViews>
    <sheetView showGridLines="0" zoomScale="85" zoomScaleNormal="85" workbookViewId="0">
      <pane xSplit="3" ySplit="5" topLeftCell="D6" activePane="bottomRight" state="frozen"/>
      <selection pane="topRight" activeCell="D1" sqref="D1"/>
      <selection pane="bottomLeft" activeCell="A6" sqref="A6"/>
      <selection pane="bottomRight" activeCell="B1" sqref="B1"/>
    </sheetView>
  </sheetViews>
  <sheetFormatPr baseColWidth="10" defaultColWidth="11" defaultRowHeight="14.25" x14ac:dyDescent="0.2"/>
  <cols>
    <col min="1" max="1" width="3.125" style="288" customWidth="1"/>
    <col min="2" max="2" width="37.875" style="288" customWidth="1"/>
    <col min="3" max="3" width="14" style="288" customWidth="1"/>
    <col min="4" max="8" width="18.625" style="288" customWidth="1"/>
    <col min="9" max="9" width="3.125" style="288" customWidth="1"/>
    <col min="10" max="16384" width="11" style="288"/>
  </cols>
  <sheetData>
    <row r="1" spans="1:9" s="284" customFormat="1" ht="30" customHeight="1" thickBot="1" x14ac:dyDescent="0.25">
      <c r="B1" s="283" t="s">
        <v>144</v>
      </c>
      <c r="E1" s="285"/>
    </row>
    <row r="2" spans="1:9" s="284" customFormat="1" ht="20.100000000000001" customHeight="1" thickTop="1" thickBot="1" x14ac:dyDescent="0.25">
      <c r="B2" s="283"/>
      <c r="D2" s="290" t="str">
        <f>Eingabe_1!D2</f>
        <v>Variante 1</v>
      </c>
      <c r="E2" s="291" t="str">
        <f>Eingabe_1!E2</f>
        <v>Variante 2</v>
      </c>
      <c r="F2" s="292" t="str">
        <f>Eingabe_1!F2</f>
        <v>Variante 3</v>
      </c>
      <c r="G2" s="472" t="str">
        <f>Eingabe_1!G2</f>
        <v>Variante 4</v>
      </c>
      <c r="H2" s="473" t="str">
        <f>Eingabe_1!H2</f>
        <v>Variante 5</v>
      </c>
    </row>
    <row r="3" spans="1:9" ht="20.100000000000001" customHeight="1" thickTop="1" thickBot="1" x14ac:dyDescent="0.25">
      <c r="B3" s="289"/>
      <c r="C3" s="317" t="s">
        <v>152</v>
      </c>
      <c r="D3" s="290" t="str">
        <f>Eingabe_1!D3</f>
        <v xml:space="preserve">Orts-KA </v>
      </c>
      <c r="E3" s="291" t="str">
        <f>Eingabe_1!E3</f>
        <v xml:space="preserve">Überleitung </v>
      </c>
      <c r="F3" s="292" t="str">
        <f>Eingabe_1!F3</f>
        <v xml:space="preserve">Grundstk-KA </v>
      </c>
      <c r="G3" s="472" t="str">
        <f>Eingabe_1!G3</f>
        <v>Text 4</v>
      </c>
      <c r="H3" s="473" t="str">
        <f>Eingabe_1!H3</f>
        <v>Text 5</v>
      </c>
    </row>
    <row r="4" spans="1:9" ht="15.75" thickTop="1" x14ac:dyDescent="0.2">
      <c r="B4" s="306" t="s">
        <v>118</v>
      </c>
      <c r="D4" s="305"/>
      <c r="E4" s="305"/>
      <c r="F4" s="305"/>
      <c r="G4" s="305"/>
      <c r="H4" s="305"/>
    </row>
    <row r="5" spans="1:9" ht="15" x14ac:dyDescent="0.25">
      <c r="D5" s="307"/>
      <c r="E5" s="305"/>
      <c r="F5" s="305"/>
      <c r="G5" s="305"/>
      <c r="H5" s="305"/>
    </row>
    <row r="6" spans="1:9" ht="15" x14ac:dyDescent="0.25">
      <c r="A6" s="332"/>
      <c r="B6" s="331" t="s">
        <v>153</v>
      </c>
      <c r="C6" s="332"/>
      <c r="D6" s="333"/>
      <c r="E6" s="333"/>
      <c r="F6" s="333"/>
      <c r="G6" s="333"/>
      <c r="H6" s="333"/>
      <c r="I6" s="332"/>
    </row>
    <row r="7" spans="1:9" x14ac:dyDescent="0.2">
      <c r="A7" s="332"/>
      <c r="B7" s="308" t="s">
        <v>132</v>
      </c>
      <c r="C7" s="309" t="s">
        <v>22</v>
      </c>
      <c r="D7" s="310"/>
      <c r="E7" s="310"/>
      <c r="F7" s="310"/>
      <c r="G7" s="310"/>
      <c r="H7" s="310"/>
      <c r="I7" s="332"/>
    </row>
    <row r="8" spans="1:9" x14ac:dyDescent="0.2">
      <c r="A8" s="332"/>
      <c r="B8" s="308" t="s">
        <v>137</v>
      </c>
      <c r="C8" s="309" t="s">
        <v>29</v>
      </c>
      <c r="D8" s="310"/>
      <c r="E8" s="310"/>
      <c r="F8" s="310"/>
      <c r="G8" s="310"/>
      <c r="H8" s="310"/>
      <c r="I8" s="332"/>
    </row>
    <row r="9" spans="1:9" x14ac:dyDescent="0.2">
      <c r="A9" s="332"/>
      <c r="B9" s="311" t="s">
        <v>129</v>
      </c>
      <c r="C9" s="312" t="s">
        <v>49</v>
      </c>
      <c r="D9" s="310"/>
      <c r="E9" s="310"/>
      <c r="F9" s="310"/>
      <c r="G9" s="310"/>
      <c r="H9" s="310"/>
      <c r="I9" s="332"/>
    </row>
    <row r="10" spans="1:9" x14ac:dyDescent="0.2">
      <c r="A10" s="332"/>
      <c r="B10" s="308" t="s">
        <v>130</v>
      </c>
      <c r="C10" s="309" t="s">
        <v>61</v>
      </c>
      <c r="D10" s="107" t="s">
        <v>85</v>
      </c>
      <c r="E10" s="107" t="s">
        <v>85</v>
      </c>
      <c r="F10" s="107" t="s">
        <v>85</v>
      </c>
      <c r="G10" s="107" t="s">
        <v>85</v>
      </c>
      <c r="H10" s="107" t="s">
        <v>85</v>
      </c>
      <c r="I10" s="332"/>
    </row>
    <row r="11" spans="1:9" s="499" customFormat="1" x14ac:dyDescent="0.2">
      <c r="A11" s="497"/>
      <c r="B11" s="500" t="s">
        <v>253</v>
      </c>
      <c r="C11" s="501"/>
      <c r="D11" s="498">
        <v>1</v>
      </c>
      <c r="E11" s="498">
        <v>1</v>
      </c>
      <c r="F11" s="498">
        <v>1</v>
      </c>
      <c r="G11" s="498">
        <v>1</v>
      </c>
      <c r="H11" s="498">
        <v>1</v>
      </c>
      <c r="I11" s="497"/>
    </row>
    <row r="12" spans="1:9" x14ac:dyDescent="0.2">
      <c r="A12" s="332"/>
      <c r="B12" s="311" t="s">
        <v>131</v>
      </c>
      <c r="C12" s="312" t="s">
        <v>50</v>
      </c>
      <c r="D12" s="310"/>
      <c r="E12" s="310"/>
      <c r="F12" s="310"/>
      <c r="G12" s="310"/>
      <c r="H12" s="310"/>
      <c r="I12" s="332"/>
    </row>
    <row r="13" spans="1:9" x14ac:dyDescent="0.2">
      <c r="A13" s="332"/>
      <c r="B13" s="308" t="s">
        <v>130</v>
      </c>
      <c r="C13" s="309" t="s">
        <v>61</v>
      </c>
      <c r="D13" s="107" t="s">
        <v>85</v>
      </c>
      <c r="E13" s="107" t="s">
        <v>85</v>
      </c>
      <c r="F13" s="107" t="s">
        <v>85</v>
      </c>
      <c r="G13" s="107" t="s">
        <v>85</v>
      </c>
      <c r="H13" s="107" t="s">
        <v>85</v>
      </c>
      <c r="I13" s="332"/>
    </row>
    <row r="14" spans="1:9" x14ac:dyDescent="0.2">
      <c r="A14" s="332"/>
      <c r="D14" s="314"/>
      <c r="E14" s="314"/>
      <c r="F14" s="314"/>
      <c r="G14" s="314"/>
      <c r="H14" s="314"/>
      <c r="I14" s="332"/>
    </row>
    <row r="15" spans="1:9" ht="15" x14ac:dyDescent="0.25">
      <c r="A15" s="332"/>
      <c r="B15" s="331" t="s">
        <v>154</v>
      </c>
      <c r="C15" s="332"/>
      <c r="D15" s="333"/>
      <c r="E15" s="333"/>
      <c r="F15" s="333"/>
      <c r="G15" s="333"/>
      <c r="H15" s="333"/>
      <c r="I15" s="332"/>
    </row>
    <row r="16" spans="1:9" x14ac:dyDescent="0.2">
      <c r="A16" s="332"/>
      <c r="B16" s="308" t="s">
        <v>132</v>
      </c>
      <c r="C16" s="309" t="s">
        <v>22</v>
      </c>
      <c r="D16" s="310"/>
      <c r="E16" s="310"/>
      <c r="F16" s="310"/>
      <c r="G16" s="310"/>
      <c r="H16" s="310"/>
      <c r="I16" s="332"/>
    </row>
    <row r="17" spans="1:9" x14ac:dyDescent="0.2">
      <c r="A17" s="332"/>
      <c r="B17" s="308" t="s">
        <v>137</v>
      </c>
      <c r="C17" s="309" t="s">
        <v>29</v>
      </c>
      <c r="D17" s="310"/>
      <c r="E17" s="310"/>
      <c r="F17" s="310"/>
      <c r="G17" s="310"/>
      <c r="H17" s="310"/>
      <c r="I17" s="332"/>
    </row>
    <row r="18" spans="1:9" x14ac:dyDescent="0.2">
      <c r="A18" s="332"/>
      <c r="B18" s="311" t="s">
        <v>129</v>
      </c>
      <c r="C18" s="312" t="s">
        <v>49</v>
      </c>
      <c r="D18" s="310"/>
      <c r="E18" s="310"/>
      <c r="F18" s="310"/>
      <c r="G18" s="310"/>
      <c r="H18" s="310"/>
      <c r="I18" s="332"/>
    </row>
    <row r="19" spans="1:9" x14ac:dyDescent="0.2">
      <c r="A19" s="332"/>
      <c r="B19" s="308" t="s">
        <v>130</v>
      </c>
      <c r="C19" s="309" t="s">
        <v>61</v>
      </c>
      <c r="D19" s="107" t="s">
        <v>85</v>
      </c>
      <c r="E19" s="107" t="s">
        <v>85</v>
      </c>
      <c r="F19" s="107" t="s">
        <v>85</v>
      </c>
      <c r="G19" s="107" t="s">
        <v>85</v>
      </c>
      <c r="H19" s="107" t="s">
        <v>85</v>
      </c>
      <c r="I19" s="332"/>
    </row>
    <row r="20" spans="1:9" x14ac:dyDescent="0.2">
      <c r="A20" s="332"/>
      <c r="B20" s="500" t="s">
        <v>253</v>
      </c>
      <c r="C20" s="501"/>
      <c r="D20" s="498">
        <v>1</v>
      </c>
      <c r="E20" s="498">
        <v>1</v>
      </c>
      <c r="F20" s="498">
        <v>1</v>
      </c>
      <c r="G20" s="498">
        <v>1</v>
      </c>
      <c r="H20" s="498">
        <v>1</v>
      </c>
      <c r="I20" s="332"/>
    </row>
    <row r="21" spans="1:9" x14ac:dyDescent="0.2">
      <c r="A21" s="332"/>
      <c r="B21" s="311" t="s">
        <v>131</v>
      </c>
      <c r="C21" s="312" t="s">
        <v>50</v>
      </c>
      <c r="D21" s="310"/>
      <c r="E21" s="310"/>
      <c r="F21" s="310"/>
      <c r="G21" s="310"/>
      <c r="H21" s="310"/>
      <c r="I21" s="332"/>
    </row>
    <row r="22" spans="1:9" x14ac:dyDescent="0.2">
      <c r="A22" s="332"/>
      <c r="B22" s="308" t="s">
        <v>130</v>
      </c>
      <c r="C22" s="309" t="s">
        <v>61</v>
      </c>
      <c r="D22" s="107" t="s">
        <v>85</v>
      </c>
      <c r="E22" s="107" t="s">
        <v>85</v>
      </c>
      <c r="F22" s="107" t="s">
        <v>85</v>
      </c>
      <c r="G22" s="107" t="s">
        <v>85</v>
      </c>
      <c r="H22" s="107" t="s">
        <v>85</v>
      </c>
      <c r="I22" s="332"/>
    </row>
    <row r="23" spans="1:9" x14ac:dyDescent="0.2">
      <c r="A23" s="332"/>
      <c r="D23" s="314"/>
      <c r="E23" s="314"/>
      <c r="F23" s="314"/>
      <c r="G23" s="314"/>
      <c r="H23" s="314"/>
      <c r="I23" s="332"/>
    </row>
    <row r="24" spans="1:9" ht="15" x14ac:dyDescent="0.25">
      <c r="A24" s="332"/>
      <c r="B24" s="331" t="s">
        <v>155</v>
      </c>
      <c r="C24" s="332"/>
      <c r="D24" s="333"/>
      <c r="E24" s="333"/>
      <c r="F24" s="333"/>
      <c r="G24" s="333"/>
      <c r="H24" s="333"/>
      <c r="I24" s="332"/>
    </row>
    <row r="25" spans="1:9" x14ac:dyDescent="0.2">
      <c r="A25" s="332"/>
      <c r="B25" s="308" t="s">
        <v>132</v>
      </c>
      <c r="C25" s="309" t="s">
        <v>22</v>
      </c>
      <c r="D25" s="310"/>
      <c r="E25" s="310"/>
      <c r="F25" s="310"/>
      <c r="G25" s="310"/>
      <c r="H25" s="310"/>
      <c r="I25" s="332"/>
    </row>
    <row r="26" spans="1:9" x14ac:dyDescent="0.2">
      <c r="A26" s="332"/>
      <c r="B26" s="308" t="s">
        <v>137</v>
      </c>
      <c r="C26" s="309" t="s">
        <v>29</v>
      </c>
      <c r="D26" s="310"/>
      <c r="E26" s="310"/>
      <c r="F26" s="310"/>
      <c r="G26" s="310"/>
      <c r="H26" s="310"/>
      <c r="I26" s="332"/>
    </row>
    <row r="27" spans="1:9" x14ac:dyDescent="0.2">
      <c r="A27" s="332"/>
      <c r="B27" s="311" t="s">
        <v>129</v>
      </c>
      <c r="C27" s="312" t="s">
        <v>49</v>
      </c>
      <c r="D27" s="310"/>
      <c r="E27" s="310"/>
      <c r="F27" s="310"/>
      <c r="G27" s="310"/>
      <c r="H27" s="310"/>
      <c r="I27" s="332"/>
    </row>
    <row r="28" spans="1:9" x14ac:dyDescent="0.2">
      <c r="A28" s="332"/>
      <c r="B28" s="308" t="s">
        <v>130</v>
      </c>
      <c r="C28" s="309" t="s">
        <v>61</v>
      </c>
      <c r="D28" s="107" t="s">
        <v>85</v>
      </c>
      <c r="E28" s="107" t="s">
        <v>85</v>
      </c>
      <c r="F28" s="107" t="s">
        <v>85</v>
      </c>
      <c r="G28" s="107" t="s">
        <v>85</v>
      </c>
      <c r="H28" s="107" t="s">
        <v>85</v>
      </c>
      <c r="I28" s="332"/>
    </row>
    <row r="29" spans="1:9" x14ac:dyDescent="0.2">
      <c r="A29" s="332"/>
      <c r="B29" s="500" t="s">
        <v>253</v>
      </c>
      <c r="C29" s="501"/>
      <c r="D29" s="498">
        <v>1</v>
      </c>
      <c r="E29" s="498">
        <v>1</v>
      </c>
      <c r="F29" s="498">
        <v>1</v>
      </c>
      <c r="G29" s="498">
        <v>1</v>
      </c>
      <c r="H29" s="498">
        <v>1</v>
      </c>
      <c r="I29" s="332"/>
    </row>
    <row r="30" spans="1:9" x14ac:dyDescent="0.2">
      <c r="A30" s="332"/>
      <c r="B30" s="311" t="s">
        <v>131</v>
      </c>
      <c r="C30" s="312" t="s">
        <v>50</v>
      </c>
      <c r="D30" s="310"/>
      <c r="E30" s="310"/>
      <c r="F30" s="310"/>
      <c r="G30" s="310"/>
      <c r="H30" s="310"/>
      <c r="I30" s="332"/>
    </row>
    <row r="31" spans="1:9" x14ac:dyDescent="0.2">
      <c r="A31" s="332"/>
      <c r="B31" s="308" t="s">
        <v>130</v>
      </c>
      <c r="C31" s="309" t="s">
        <v>61</v>
      </c>
      <c r="D31" s="107" t="s">
        <v>85</v>
      </c>
      <c r="E31" s="107" t="s">
        <v>85</v>
      </c>
      <c r="F31" s="107" t="s">
        <v>85</v>
      </c>
      <c r="G31" s="107" t="s">
        <v>85</v>
      </c>
      <c r="H31" s="107" t="s">
        <v>85</v>
      </c>
      <c r="I31" s="332"/>
    </row>
    <row r="32" spans="1:9" x14ac:dyDescent="0.2">
      <c r="A32" s="332"/>
      <c r="D32" s="314"/>
      <c r="E32" s="314"/>
      <c r="F32" s="314"/>
      <c r="G32" s="314"/>
      <c r="H32" s="314"/>
      <c r="I32" s="332"/>
    </row>
    <row r="33" spans="1:9" ht="15" x14ac:dyDescent="0.25">
      <c r="A33" s="332"/>
      <c r="B33" s="331" t="s">
        <v>243</v>
      </c>
      <c r="C33" s="332"/>
      <c r="D33" s="333"/>
      <c r="E33" s="333"/>
      <c r="F33" s="333"/>
      <c r="G33" s="333"/>
      <c r="H33" s="333"/>
      <c r="I33" s="332"/>
    </row>
    <row r="34" spans="1:9" x14ac:dyDescent="0.2">
      <c r="A34" s="332"/>
      <c r="B34" s="308" t="s">
        <v>132</v>
      </c>
      <c r="C34" s="309" t="s">
        <v>22</v>
      </c>
      <c r="D34" s="310"/>
      <c r="E34" s="310"/>
      <c r="F34" s="310"/>
      <c r="G34" s="310"/>
      <c r="H34" s="310"/>
      <c r="I34" s="332"/>
    </row>
    <row r="35" spans="1:9" x14ac:dyDescent="0.2">
      <c r="A35" s="332"/>
      <c r="B35" s="308" t="s">
        <v>137</v>
      </c>
      <c r="C35" s="309" t="s">
        <v>29</v>
      </c>
      <c r="D35" s="310"/>
      <c r="E35" s="310"/>
      <c r="F35" s="310"/>
      <c r="G35" s="310"/>
      <c r="H35" s="310"/>
      <c r="I35" s="332"/>
    </row>
    <row r="36" spans="1:9" x14ac:dyDescent="0.2">
      <c r="A36" s="332"/>
      <c r="B36" s="311" t="s">
        <v>129</v>
      </c>
      <c r="C36" s="312" t="s">
        <v>49</v>
      </c>
      <c r="D36" s="310"/>
      <c r="E36" s="310"/>
      <c r="F36" s="310"/>
      <c r="G36" s="310"/>
      <c r="H36" s="310"/>
      <c r="I36" s="332"/>
    </row>
    <row r="37" spans="1:9" x14ac:dyDescent="0.2">
      <c r="A37" s="332"/>
      <c r="B37" s="308" t="s">
        <v>130</v>
      </c>
      <c r="C37" s="309" t="s">
        <v>61</v>
      </c>
      <c r="D37" s="107" t="s">
        <v>85</v>
      </c>
      <c r="E37" s="107" t="s">
        <v>85</v>
      </c>
      <c r="F37" s="107" t="s">
        <v>85</v>
      </c>
      <c r="G37" s="107" t="s">
        <v>85</v>
      </c>
      <c r="H37" s="107" t="s">
        <v>85</v>
      </c>
      <c r="I37" s="332"/>
    </row>
    <row r="38" spans="1:9" x14ac:dyDescent="0.2">
      <c r="A38" s="332"/>
      <c r="B38" s="500" t="s">
        <v>253</v>
      </c>
      <c r="C38" s="501"/>
      <c r="D38" s="498">
        <v>1</v>
      </c>
      <c r="E38" s="498">
        <v>1</v>
      </c>
      <c r="F38" s="498">
        <v>1</v>
      </c>
      <c r="G38" s="498">
        <v>1</v>
      </c>
      <c r="H38" s="498">
        <v>1</v>
      </c>
      <c r="I38" s="332"/>
    </row>
    <row r="39" spans="1:9" x14ac:dyDescent="0.2">
      <c r="A39" s="332"/>
      <c r="B39" s="311" t="s">
        <v>131</v>
      </c>
      <c r="C39" s="312" t="s">
        <v>50</v>
      </c>
      <c r="D39" s="310"/>
      <c r="E39" s="310"/>
      <c r="F39" s="310"/>
      <c r="G39" s="310"/>
      <c r="H39" s="310"/>
      <c r="I39" s="332"/>
    </row>
    <row r="40" spans="1:9" x14ac:dyDescent="0.2">
      <c r="A40" s="332"/>
      <c r="B40" s="308" t="s">
        <v>130</v>
      </c>
      <c r="C40" s="309" t="s">
        <v>61</v>
      </c>
      <c r="D40" s="107" t="s">
        <v>85</v>
      </c>
      <c r="E40" s="107" t="s">
        <v>85</v>
      </c>
      <c r="F40" s="107" t="s">
        <v>85</v>
      </c>
      <c r="G40" s="107" t="s">
        <v>85</v>
      </c>
      <c r="H40" s="107" t="s">
        <v>85</v>
      </c>
      <c r="I40" s="332"/>
    </row>
    <row r="41" spans="1:9" x14ac:dyDescent="0.2">
      <c r="A41" s="332"/>
      <c r="D41" s="314"/>
      <c r="E41" s="314"/>
      <c r="F41" s="314"/>
      <c r="G41" s="314"/>
      <c r="H41" s="314"/>
      <c r="I41" s="332"/>
    </row>
    <row r="42" spans="1:9" ht="15" x14ac:dyDescent="0.25">
      <c r="A42" s="332"/>
      <c r="B42" s="331" t="s">
        <v>244</v>
      </c>
      <c r="C42" s="332"/>
      <c r="D42" s="333"/>
      <c r="E42" s="333"/>
      <c r="F42" s="333"/>
      <c r="G42" s="333"/>
      <c r="H42" s="333"/>
      <c r="I42" s="332"/>
    </row>
    <row r="43" spans="1:9" x14ac:dyDescent="0.2">
      <c r="A43" s="332"/>
      <c r="B43" s="308" t="s">
        <v>132</v>
      </c>
      <c r="C43" s="309" t="s">
        <v>22</v>
      </c>
      <c r="D43" s="310"/>
      <c r="E43" s="310"/>
      <c r="F43" s="310"/>
      <c r="G43" s="310"/>
      <c r="H43" s="310"/>
      <c r="I43" s="332"/>
    </row>
    <row r="44" spans="1:9" x14ac:dyDescent="0.2">
      <c r="A44" s="332"/>
      <c r="B44" s="308" t="s">
        <v>137</v>
      </c>
      <c r="C44" s="309" t="s">
        <v>29</v>
      </c>
      <c r="D44" s="310"/>
      <c r="E44" s="310"/>
      <c r="F44" s="310"/>
      <c r="G44" s="310"/>
      <c r="H44" s="310"/>
      <c r="I44" s="332"/>
    </row>
    <row r="45" spans="1:9" x14ac:dyDescent="0.2">
      <c r="A45" s="332"/>
      <c r="B45" s="311" t="s">
        <v>129</v>
      </c>
      <c r="C45" s="312" t="s">
        <v>49</v>
      </c>
      <c r="D45" s="310"/>
      <c r="E45" s="310"/>
      <c r="F45" s="310"/>
      <c r="G45" s="310"/>
      <c r="H45" s="310"/>
      <c r="I45" s="332"/>
    </row>
    <row r="46" spans="1:9" x14ac:dyDescent="0.2">
      <c r="A46" s="332"/>
      <c r="B46" s="308" t="s">
        <v>130</v>
      </c>
      <c r="C46" s="309" t="s">
        <v>61</v>
      </c>
      <c r="D46" s="107" t="s">
        <v>85</v>
      </c>
      <c r="E46" s="107" t="s">
        <v>85</v>
      </c>
      <c r="F46" s="107" t="s">
        <v>85</v>
      </c>
      <c r="G46" s="107" t="s">
        <v>85</v>
      </c>
      <c r="H46" s="107" t="s">
        <v>85</v>
      </c>
      <c r="I46" s="332"/>
    </row>
    <row r="47" spans="1:9" x14ac:dyDescent="0.2">
      <c r="A47" s="332"/>
      <c r="B47" s="500" t="s">
        <v>253</v>
      </c>
      <c r="C47" s="501"/>
      <c r="D47" s="498">
        <v>1</v>
      </c>
      <c r="E47" s="498">
        <v>1</v>
      </c>
      <c r="F47" s="498">
        <v>1</v>
      </c>
      <c r="G47" s="498">
        <v>1</v>
      </c>
      <c r="H47" s="498">
        <v>1</v>
      </c>
      <c r="I47" s="332"/>
    </row>
    <row r="48" spans="1:9" x14ac:dyDescent="0.2">
      <c r="A48" s="332"/>
      <c r="B48" s="311" t="s">
        <v>131</v>
      </c>
      <c r="C48" s="312" t="s">
        <v>50</v>
      </c>
      <c r="D48" s="310"/>
      <c r="E48" s="310"/>
      <c r="F48" s="310"/>
      <c r="G48" s="310"/>
      <c r="H48" s="310"/>
      <c r="I48" s="332"/>
    </row>
    <row r="49" spans="1:9" x14ac:dyDescent="0.2">
      <c r="A49" s="332"/>
      <c r="B49" s="308" t="s">
        <v>130</v>
      </c>
      <c r="C49" s="309" t="s">
        <v>61</v>
      </c>
      <c r="D49" s="107" t="s">
        <v>85</v>
      </c>
      <c r="E49" s="107" t="s">
        <v>85</v>
      </c>
      <c r="F49" s="107" t="s">
        <v>85</v>
      </c>
      <c r="G49" s="107" t="s">
        <v>85</v>
      </c>
      <c r="H49" s="107" t="s">
        <v>85</v>
      </c>
      <c r="I49" s="332"/>
    </row>
    <row r="50" spans="1:9" x14ac:dyDescent="0.2">
      <c r="A50" s="332"/>
      <c r="B50" s="332"/>
      <c r="C50" s="332"/>
      <c r="D50" s="333"/>
      <c r="E50" s="333"/>
      <c r="F50" s="333"/>
      <c r="G50" s="333"/>
      <c r="H50" s="333"/>
      <c r="I50" s="332"/>
    </row>
    <row r="51" spans="1:9" ht="15" x14ac:dyDescent="0.25">
      <c r="A51" s="391"/>
      <c r="B51" s="392" t="s">
        <v>215</v>
      </c>
      <c r="C51" s="391"/>
      <c r="D51" s="393"/>
      <c r="E51" s="393"/>
      <c r="F51" s="393"/>
      <c r="G51" s="393"/>
      <c r="H51" s="393"/>
      <c r="I51" s="391"/>
    </row>
    <row r="52" spans="1:9" x14ac:dyDescent="0.2">
      <c r="A52" s="391"/>
      <c r="B52" s="308" t="s">
        <v>137</v>
      </c>
      <c r="C52" s="309" t="s">
        <v>29</v>
      </c>
      <c r="D52" s="310"/>
      <c r="E52" s="310"/>
      <c r="F52" s="310"/>
      <c r="G52" s="310"/>
      <c r="H52" s="310"/>
      <c r="I52" s="391"/>
    </row>
    <row r="53" spans="1:9" x14ac:dyDescent="0.2">
      <c r="A53" s="391"/>
      <c r="B53" s="311" t="s">
        <v>129</v>
      </c>
      <c r="C53" s="312" t="s">
        <v>49</v>
      </c>
      <c r="D53" s="310"/>
      <c r="E53" s="310"/>
      <c r="F53" s="310"/>
      <c r="G53" s="310"/>
      <c r="H53" s="310"/>
      <c r="I53" s="391"/>
    </row>
    <row r="54" spans="1:9" x14ac:dyDescent="0.2">
      <c r="A54" s="391"/>
      <c r="B54" s="308" t="s">
        <v>130</v>
      </c>
      <c r="C54" s="309" t="s">
        <v>61</v>
      </c>
      <c r="D54" s="107" t="s">
        <v>85</v>
      </c>
      <c r="E54" s="107" t="s">
        <v>85</v>
      </c>
      <c r="F54" s="107" t="s">
        <v>85</v>
      </c>
      <c r="G54" s="107" t="s">
        <v>85</v>
      </c>
      <c r="H54" s="107" t="s">
        <v>85</v>
      </c>
      <c r="I54" s="391"/>
    </row>
    <row r="55" spans="1:9" x14ac:dyDescent="0.2">
      <c r="A55" s="391"/>
      <c r="B55" s="500" t="s">
        <v>253</v>
      </c>
      <c r="C55" s="501"/>
      <c r="D55" s="498">
        <v>1</v>
      </c>
      <c r="E55" s="498">
        <v>1</v>
      </c>
      <c r="F55" s="498">
        <v>1</v>
      </c>
      <c r="G55" s="498">
        <v>1</v>
      </c>
      <c r="H55" s="498">
        <v>1</v>
      </c>
      <c r="I55" s="391"/>
    </row>
    <row r="56" spans="1:9" x14ac:dyDescent="0.2">
      <c r="A56" s="391"/>
      <c r="B56" s="311" t="s">
        <v>131</v>
      </c>
      <c r="C56" s="312" t="s">
        <v>50</v>
      </c>
      <c r="D56" s="310"/>
      <c r="E56" s="310"/>
      <c r="F56" s="310"/>
      <c r="G56" s="310"/>
      <c r="H56" s="310"/>
      <c r="I56" s="391"/>
    </row>
    <row r="57" spans="1:9" x14ac:dyDescent="0.2">
      <c r="A57" s="391"/>
      <c r="B57" s="308" t="s">
        <v>130</v>
      </c>
      <c r="C57" s="309" t="s">
        <v>61</v>
      </c>
      <c r="D57" s="107" t="s">
        <v>85</v>
      </c>
      <c r="E57" s="107" t="s">
        <v>85</v>
      </c>
      <c r="F57" s="107" t="s">
        <v>85</v>
      </c>
      <c r="G57" s="107" t="s">
        <v>85</v>
      </c>
      <c r="H57" s="107" t="s">
        <v>85</v>
      </c>
      <c r="I57" s="391"/>
    </row>
    <row r="58" spans="1:9" x14ac:dyDescent="0.2">
      <c r="A58" s="391"/>
      <c r="D58" s="322"/>
      <c r="E58" s="322"/>
      <c r="F58" s="322"/>
      <c r="G58" s="322"/>
      <c r="H58" s="322"/>
      <c r="I58" s="391"/>
    </row>
    <row r="59" spans="1:9" ht="15" x14ac:dyDescent="0.25">
      <c r="A59" s="391"/>
      <c r="B59" s="392" t="s">
        <v>219</v>
      </c>
      <c r="C59" s="391"/>
      <c r="D59" s="393"/>
      <c r="E59" s="393"/>
      <c r="F59" s="393"/>
      <c r="G59" s="393"/>
      <c r="H59" s="393"/>
      <c r="I59" s="391"/>
    </row>
    <row r="60" spans="1:9" x14ac:dyDescent="0.2">
      <c r="A60" s="391"/>
      <c r="B60" s="308" t="s">
        <v>132</v>
      </c>
      <c r="C60" s="309" t="s">
        <v>22</v>
      </c>
      <c r="D60" s="310"/>
      <c r="E60" s="310"/>
      <c r="F60" s="310"/>
      <c r="G60" s="310"/>
      <c r="H60" s="310"/>
      <c r="I60" s="391"/>
    </row>
    <row r="61" spans="1:9" x14ac:dyDescent="0.2">
      <c r="A61" s="391"/>
      <c r="B61" s="311" t="s">
        <v>129</v>
      </c>
      <c r="C61" s="312" t="s">
        <v>49</v>
      </c>
      <c r="D61" s="310"/>
      <c r="E61" s="310"/>
      <c r="F61" s="310"/>
      <c r="G61" s="310"/>
      <c r="H61" s="310"/>
      <c r="I61" s="391"/>
    </row>
    <row r="62" spans="1:9" x14ac:dyDescent="0.2">
      <c r="A62" s="391"/>
      <c r="B62" s="308" t="s">
        <v>130</v>
      </c>
      <c r="C62" s="309" t="s">
        <v>61</v>
      </c>
      <c r="D62" s="107" t="s">
        <v>85</v>
      </c>
      <c r="E62" s="107" t="s">
        <v>85</v>
      </c>
      <c r="F62" s="107" t="s">
        <v>85</v>
      </c>
      <c r="G62" s="107" t="s">
        <v>85</v>
      </c>
      <c r="H62" s="107" t="s">
        <v>85</v>
      </c>
      <c r="I62" s="391"/>
    </row>
    <row r="63" spans="1:9" x14ac:dyDescent="0.2">
      <c r="A63" s="391"/>
      <c r="B63" s="500" t="s">
        <v>253</v>
      </c>
      <c r="C63" s="501"/>
      <c r="D63" s="498">
        <v>1</v>
      </c>
      <c r="E63" s="498">
        <v>1</v>
      </c>
      <c r="F63" s="498">
        <v>1</v>
      </c>
      <c r="G63" s="498">
        <v>1</v>
      </c>
      <c r="H63" s="498">
        <v>1</v>
      </c>
      <c r="I63" s="391"/>
    </row>
    <row r="64" spans="1:9" x14ac:dyDescent="0.2">
      <c r="A64" s="391"/>
      <c r="B64" s="311" t="s">
        <v>131</v>
      </c>
      <c r="C64" s="312" t="s">
        <v>50</v>
      </c>
      <c r="D64" s="310"/>
      <c r="E64" s="310"/>
      <c r="F64" s="310"/>
      <c r="G64" s="310"/>
      <c r="H64" s="310"/>
      <c r="I64" s="391"/>
    </row>
    <row r="65" spans="1:10" x14ac:dyDescent="0.2">
      <c r="A65" s="391"/>
      <c r="B65" s="308" t="s">
        <v>130</v>
      </c>
      <c r="C65" s="309" t="s">
        <v>61</v>
      </c>
      <c r="D65" s="107" t="s">
        <v>85</v>
      </c>
      <c r="E65" s="107" t="s">
        <v>85</v>
      </c>
      <c r="F65" s="107" t="s">
        <v>85</v>
      </c>
      <c r="G65" s="107" t="s">
        <v>85</v>
      </c>
      <c r="H65" s="107" t="s">
        <v>85</v>
      </c>
      <c r="I65" s="391"/>
    </row>
    <row r="66" spans="1:10" x14ac:dyDescent="0.2">
      <c r="A66" s="391"/>
      <c r="B66" s="391"/>
      <c r="C66" s="391"/>
      <c r="D66" s="393"/>
      <c r="E66" s="393"/>
      <c r="F66" s="393"/>
      <c r="G66" s="393"/>
      <c r="H66" s="393"/>
      <c r="I66" s="391"/>
    </row>
    <row r="67" spans="1:10" ht="15" x14ac:dyDescent="0.25">
      <c r="A67" s="334"/>
      <c r="B67" s="335" t="s">
        <v>171</v>
      </c>
      <c r="C67" s="334"/>
      <c r="D67" s="336"/>
      <c r="E67" s="336"/>
      <c r="F67" s="336"/>
      <c r="G67" s="336"/>
      <c r="H67" s="336"/>
      <c r="I67" s="334"/>
    </row>
    <row r="68" spans="1:10" x14ac:dyDescent="0.2">
      <c r="A68" s="334"/>
      <c r="B68" s="308" t="s">
        <v>160</v>
      </c>
      <c r="C68" s="309" t="s">
        <v>61</v>
      </c>
      <c r="D68" s="329" t="s">
        <v>158</v>
      </c>
      <c r="E68" s="329" t="s">
        <v>158</v>
      </c>
      <c r="F68" s="329" t="s">
        <v>158</v>
      </c>
      <c r="G68" s="329" t="s">
        <v>158</v>
      </c>
      <c r="H68" s="329" t="s">
        <v>158</v>
      </c>
      <c r="I68" s="334"/>
    </row>
    <row r="69" spans="1:10" x14ac:dyDescent="0.2">
      <c r="A69" s="334"/>
      <c r="B69" s="308" t="s">
        <v>168</v>
      </c>
      <c r="C69" s="309" t="s">
        <v>169</v>
      </c>
      <c r="D69" s="329"/>
      <c r="E69" s="329"/>
      <c r="F69" s="329"/>
      <c r="G69" s="329"/>
      <c r="H69" s="329"/>
      <c r="I69" s="334"/>
    </row>
    <row r="70" spans="1:10" ht="15" x14ac:dyDescent="0.25">
      <c r="A70" s="334"/>
      <c r="B70" s="308" t="s">
        <v>161</v>
      </c>
      <c r="C70" s="309" t="s">
        <v>61</v>
      </c>
      <c r="D70" s="323" t="s">
        <v>163</v>
      </c>
      <c r="E70" s="323" t="s">
        <v>163</v>
      </c>
      <c r="F70" s="323" t="s">
        <v>163</v>
      </c>
      <c r="G70" s="323" t="s">
        <v>163</v>
      </c>
      <c r="H70" s="323" t="s">
        <v>163</v>
      </c>
      <c r="I70" s="334"/>
      <c r="J70" s="426"/>
    </row>
    <row r="71" spans="1:10" x14ac:dyDescent="0.2">
      <c r="A71" s="334"/>
      <c r="B71" s="308" t="s">
        <v>162</v>
      </c>
      <c r="C71" s="309" t="s">
        <v>61</v>
      </c>
      <c r="D71" s="323" t="s">
        <v>165</v>
      </c>
      <c r="E71" s="323" t="s">
        <v>165</v>
      </c>
      <c r="F71" s="323" t="s">
        <v>165</v>
      </c>
      <c r="G71" s="323" t="s">
        <v>165</v>
      </c>
      <c r="H71" s="532" t="s">
        <v>165</v>
      </c>
      <c r="I71" s="334"/>
      <c r="J71" s="425"/>
    </row>
    <row r="72" spans="1:10" x14ac:dyDescent="0.2">
      <c r="A72" s="334"/>
      <c r="B72" s="311" t="s">
        <v>129</v>
      </c>
      <c r="C72" s="312" t="s">
        <v>49</v>
      </c>
      <c r="D72" s="310"/>
      <c r="E72" s="310"/>
      <c r="F72" s="310"/>
      <c r="G72" s="310"/>
      <c r="H72" s="310"/>
      <c r="I72" s="334"/>
    </row>
    <row r="73" spans="1:10" x14ac:dyDescent="0.2">
      <c r="A73" s="334"/>
      <c r="B73" s="308" t="s">
        <v>130</v>
      </c>
      <c r="C73" s="309" t="s">
        <v>61</v>
      </c>
      <c r="D73" s="107" t="s">
        <v>85</v>
      </c>
      <c r="E73" s="107" t="s">
        <v>85</v>
      </c>
      <c r="F73" s="107" t="s">
        <v>85</v>
      </c>
      <c r="G73" s="107" t="s">
        <v>85</v>
      </c>
      <c r="H73" s="107" t="s">
        <v>85</v>
      </c>
      <c r="I73" s="334"/>
    </row>
    <row r="74" spans="1:10" x14ac:dyDescent="0.2">
      <c r="A74" s="334"/>
      <c r="B74" s="500" t="s">
        <v>253</v>
      </c>
      <c r="C74" s="501"/>
      <c r="D74" s="498">
        <v>1</v>
      </c>
      <c r="E74" s="498">
        <v>1</v>
      </c>
      <c r="F74" s="498">
        <v>1</v>
      </c>
      <c r="G74" s="498">
        <v>1</v>
      </c>
      <c r="H74" s="498">
        <v>1</v>
      </c>
      <c r="I74" s="334"/>
    </row>
    <row r="75" spans="1:10" x14ac:dyDescent="0.2">
      <c r="A75" s="334"/>
      <c r="B75" s="311" t="s">
        <v>131</v>
      </c>
      <c r="C75" s="312" t="s">
        <v>50</v>
      </c>
      <c r="D75" s="310"/>
      <c r="E75" s="310"/>
      <c r="F75" s="310"/>
      <c r="G75" s="310"/>
      <c r="H75" s="310"/>
      <c r="I75" s="334"/>
    </row>
    <row r="76" spans="1:10" x14ac:dyDescent="0.2">
      <c r="A76" s="334"/>
      <c r="B76" s="308" t="s">
        <v>130</v>
      </c>
      <c r="C76" s="309" t="s">
        <v>61</v>
      </c>
      <c r="D76" s="107" t="s">
        <v>85</v>
      </c>
      <c r="E76" s="107" t="s">
        <v>85</v>
      </c>
      <c r="F76" s="107" t="s">
        <v>85</v>
      </c>
      <c r="G76" s="107" t="s">
        <v>85</v>
      </c>
      <c r="H76" s="107" t="s">
        <v>85</v>
      </c>
      <c r="I76" s="334"/>
    </row>
    <row r="77" spans="1:10" x14ac:dyDescent="0.2">
      <c r="A77" s="334"/>
      <c r="D77" s="314"/>
      <c r="E77" s="314"/>
      <c r="F77" s="314"/>
      <c r="G77" s="314"/>
      <c r="H77" s="314"/>
      <c r="I77" s="334"/>
    </row>
    <row r="78" spans="1:10" ht="15" x14ac:dyDescent="0.25">
      <c r="A78" s="334"/>
      <c r="B78" s="335" t="s">
        <v>183</v>
      </c>
      <c r="C78" s="334"/>
      <c r="D78" s="336"/>
      <c r="E78" s="336"/>
      <c r="F78" s="336"/>
      <c r="G78" s="336"/>
      <c r="H78" s="336"/>
      <c r="I78" s="334"/>
    </row>
    <row r="79" spans="1:10" x14ac:dyDescent="0.2">
      <c r="A79" s="334"/>
      <c r="B79" s="308" t="s">
        <v>160</v>
      </c>
      <c r="C79" s="309" t="s">
        <v>61</v>
      </c>
      <c r="D79" s="329" t="s">
        <v>158</v>
      </c>
      <c r="E79" s="329" t="s">
        <v>158</v>
      </c>
      <c r="F79" s="329" t="s">
        <v>158</v>
      </c>
      <c r="G79" s="329" t="s">
        <v>158</v>
      </c>
      <c r="H79" s="329" t="s">
        <v>158</v>
      </c>
      <c r="I79" s="334"/>
    </row>
    <row r="80" spans="1:10" x14ac:dyDescent="0.2">
      <c r="A80" s="334"/>
      <c r="B80" s="308" t="s">
        <v>168</v>
      </c>
      <c r="C80" s="309" t="s">
        <v>169</v>
      </c>
      <c r="D80" s="329"/>
      <c r="E80" s="329"/>
      <c r="F80" s="329"/>
      <c r="G80" s="329"/>
      <c r="H80" s="329"/>
      <c r="I80" s="334"/>
    </row>
    <row r="81" spans="1:10" ht="15" x14ac:dyDescent="0.25">
      <c r="A81" s="334"/>
      <c r="B81" s="308" t="s">
        <v>161</v>
      </c>
      <c r="C81" s="309" t="s">
        <v>61</v>
      </c>
      <c r="D81" s="323" t="s">
        <v>164</v>
      </c>
      <c r="E81" s="323" t="s">
        <v>164</v>
      </c>
      <c r="F81" s="323" t="s">
        <v>164</v>
      </c>
      <c r="G81" s="323" t="s">
        <v>164</v>
      </c>
      <c r="H81" s="323" t="s">
        <v>164</v>
      </c>
      <c r="I81" s="334"/>
      <c r="J81" s="426"/>
    </row>
    <row r="82" spans="1:10" x14ac:dyDescent="0.2">
      <c r="A82" s="334"/>
      <c r="B82" s="308" t="s">
        <v>162</v>
      </c>
      <c r="C82" s="309" t="s">
        <v>61</v>
      </c>
      <c r="D82" s="323" t="s">
        <v>165</v>
      </c>
      <c r="E82" s="323" t="s">
        <v>165</v>
      </c>
      <c r="F82" s="323" t="s">
        <v>165</v>
      </c>
      <c r="G82" s="323" t="s">
        <v>165</v>
      </c>
      <c r="H82" s="323" t="s">
        <v>165</v>
      </c>
      <c r="I82" s="334"/>
      <c r="J82" s="425"/>
    </row>
    <row r="83" spans="1:10" x14ac:dyDescent="0.2">
      <c r="A83" s="334"/>
      <c r="B83" s="311" t="s">
        <v>129</v>
      </c>
      <c r="C83" s="312" t="s">
        <v>49</v>
      </c>
      <c r="D83" s="310"/>
      <c r="E83" s="310"/>
      <c r="F83" s="310"/>
      <c r="G83" s="310"/>
      <c r="H83" s="310"/>
      <c r="I83" s="334"/>
    </row>
    <row r="84" spans="1:10" x14ac:dyDescent="0.2">
      <c r="A84" s="334"/>
      <c r="B84" s="308" t="s">
        <v>130</v>
      </c>
      <c r="C84" s="309" t="s">
        <v>61</v>
      </c>
      <c r="D84" s="107" t="s">
        <v>85</v>
      </c>
      <c r="E84" s="107" t="s">
        <v>85</v>
      </c>
      <c r="F84" s="107" t="s">
        <v>85</v>
      </c>
      <c r="G84" s="107" t="s">
        <v>85</v>
      </c>
      <c r="H84" s="107" t="s">
        <v>85</v>
      </c>
      <c r="I84" s="334"/>
    </row>
    <row r="85" spans="1:10" x14ac:dyDescent="0.2">
      <c r="A85" s="334"/>
      <c r="B85" s="500" t="s">
        <v>253</v>
      </c>
      <c r="C85" s="501"/>
      <c r="D85" s="498">
        <v>1</v>
      </c>
      <c r="E85" s="498">
        <v>1</v>
      </c>
      <c r="F85" s="498">
        <v>1</v>
      </c>
      <c r="G85" s="498">
        <v>1</v>
      </c>
      <c r="H85" s="498">
        <v>1</v>
      </c>
      <c r="I85" s="334"/>
    </row>
    <row r="86" spans="1:10" x14ac:dyDescent="0.2">
      <c r="A86" s="334"/>
      <c r="B86" s="311" t="s">
        <v>131</v>
      </c>
      <c r="C86" s="312" t="s">
        <v>50</v>
      </c>
      <c r="D86" s="310"/>
      <c r="E86" s="310"/>
      <c r="F86" s="310"/>
      <c r="G86" s="310"/>
      <c r="H86" s="310"/>
      <c r="I86" s="334"/>
    </row>
    <row r="87" spans="1:10" x14ac:dyDescent="0.2">
      <c r="A87" s="334"/>
      <c r="B87" s="308" t="s">
        <v>130</v>
      </c>
      <c r="C87" s="309" t="s">
        <v>61</v>
      </c>
      <c r="D87" s="107" t="s">
        <v>85</v>
      </c>
      <c r="E87" s="107" t="s">
        <v>85</v>
      </c>
      <c r="F87" s="107" t="s">
        <v>85</v>
      </c>
      <c r="G87" s="107" t="s">
        <v>85</v>
      </c>
      <c r="H87" s="107" t="s">
        <v>85</v>
      </c>
      <c r="I87" s="334"/>
    </row>
    <row r="88" spans="1:10" x14ac:dyDescent="0.2">
      <c r="A88" s="334"/>
      <c r="D88" s="314"/>
      <c r="E88" s="314"/>
      <c r="F88" s="314"/>
      <c r="G88" s="314"/>
      <c r="H88" s="314"/>
      <c r="I88" s="334"/>
    </row>
    <row r="89" spans="1:10" ht="15" x14ac:dyDescent="0.25">
      <c r="A89" s="334"/>
      <c r="B89" s="335" t="s">
        <v>184</v>
      </c>
      <c r="C89" s="334"/>
      <c r="D89" s="336"/>
      <c r="E89" s="336"/>
      <c r="F89" s="336"/>
      <c r="G89" s="336"/>
      <c r="H89" s="336"/>
      <c r="I89" s="334"/>
    </row>
    <row r="90" spans="1:10" x14ac:dyDescent="0.2">
      <c r="A90" s="334"/>
      <c r="B90" s="308" t="s">
        <v>160</v>
      </c>
      <c r="C90" s="309" t="s">
        <v>61</v>
      </c>
      <c r="D90" s="329" t="s">
        <v>158</v>
      </c>
      <c r="E90" s="329" t="s">
        <v>158</v>
      </c>
      <c r="F90" s="329" t="s">
        <v>158</v>
      </c>
      <c r="G90" s="329" t="s">
        <v>158</v>
      </c>
      <c r="H90" s="329" t="s">
        <v>158</v>
      </c>
      <c r="I90" s="334"/>
    </row>
    <row r="91" spans="1:10" x14ac:dyDescent="0.2">
      <c r="A91" s="334"/>
      <c r="B91" s="308" t="s">
        <v>168</v>
      </c>
      <c r="C91" s="309" t="s">
        <v>169</v>
      </c>
      <c r="D91" s="329"/>
      <c r="E91" s="329"/>
      <c r="F91" s="329"/>
      <c r="G91" s="329"/>
      <c r="H91" s="329"/>
      <c r="I91" s="334"/>
    </row>
    <row r="92" spans="1:10" ht="15" x14ac:dyDescent="0.25">
      <c r="A92" s="334"/>
      <c r="B92" s="308" t="s">
        <v>161</v>
      </c>
      <c r="C92" s="309" t="s">
        <v>61</v>
      </c>
      <c r="D92" s="323" t="s">
        <v>164</v>
      </c>
      <c r="E92" s="323" t="s">
        <v>164</v>
      </c>
      <c r="F92" s="323" t="s">
        <v>164</v>
      </c>
      <c r="G92" s="323" t="s">
        <v>164</v>
      </c>
      <c r="H92" s="323" t="s">
        <v>164</v>
      </c>
      <c r="I92" s="334"/>
      <c r="J92" s="426"/>
    </row>
    <row r="93" spans="1:10" x14ac:dyDescent="0.2">
      <c r="A93" s="334"/>
      <c r="B93" s="308" t="s">
        <v>162</v>
      </c>
      <c r="C93" s="309" t="s">
        <v>61</v>
      </c>
      <c r="D93" s="323" t="s">
        <v>165</v>
      </c>
      <c r="E93" s="323" t="s">
        <v>165</v>
      </c>
      <c r="F93" s="323" t="s">
        <v>165</v>
      </c>
      <c r="G93" s="323" t="s">
        <v>165</v>
      </c>
      <c r="H93" s="323" t="s">
        <v>165</v>
      </c>
      <c r="I93" s="334"/>
      <c r="J93" s="425"/>
    </row>
    <row r="94" spans="1:10" x14ac:dyDescent="0.2">
      <c r="A94" s="334"/>
      <c r="B94" s="311" t="s">
        <v>129</v>
      </c>
      <c r="C94" s="312" t="s">
        <v>49</v>
      </c>
      <c r="D94" s="310"/>
      <c r="E94" s="310"/>
      <c r="F94" s="310"/>
      <c r="G94" s="310"/>
      <c r="H94" s="310"/>
      <c r="I94" s="334"/>
    </row>
    <row r="95" spans="1:10" x14ac:dyDescent="0.2">
      <c r="A95" s="334"/>
      <c r="B95" s="308" t="s">
        <v>130</v>
      </c>
      <c r="C95" s="309" t="s">
        <v>61</v>
      </c>
      <c r="D95" s="107" t="s">
        <v>85</v>
      </c>
      <c r="E95" s="107" t="s">
        <v>85</v>
      </c>
      <c r="F95" s="107" t="s">
        <v>85</v>
      </c>
      <c r="G95" s="107" t="s">
        <v>85</v>
      </c>
      <c r="H95" s="107" t="s">
        <v>85</v>
      </c>
      <c r="I95" s="334"/>
    </row>
    <row r="96" spans="1:10" x14ac:dyDescent="0.2">
      <c r="A96" s="334"/>
      <c r="B96" s="500" t="s">
        <v>253</v>
      </c>
      <c r="C96" s="501"/>
      <c r="D96" s="498">
        <v>1</v>
      </c>
      <c r="E96" s="498">
        <v>1</v>
      </c>
      <c r="F96" s="498">
        <v>1</v>
      </c>
      <c r="G96" s="498">
        <v>1</v>
      </c>
      <c r="H96" s="498">
        <v>1</v>
      </c>
      <c r="I96" s="334"/>
    </row>
    <row r="97" spans="1:9" x14ac:dyDescent="0.2">
      <c r="A97" s="334"/>
      <c r="B97" s="311" t="s">
        <v>131</v>
      </c>
      <c r="C97" s="312" t="s">
        <v>50</v>
      </c>
      <c r="D97" s="310"/>
      <c r="E97" s="310"/>
      <c r="F97" s="310"/>
      <c r="G97" s="310"/>
      <c r="H97" s="310"/>
      <c r="I97" s="334"/>
    </row>
    <row r="98" spans="1:9" x14ac:dyDescent="0.2">
      <c r="A98" s="334"/>
      <c r="B98" s="308" t="s">
        <v>130</v>
      </c>
      <c r="C98" s="309" t="s">
        <v>61</v>
      </c>
      <c r="D98" s="107" t="s">
        <v>85</v>
      </c>
      <c r="E98" s="107" t="s">
        <v>85</v>
      </c>
      <c r="F98" s="107" t="s">
        <v>85</v>
      </c>
      <c r="G98" s="107" t="s">
        <v>85</v>
      </c>
      <c r="H98" s="107" t="s">
        <v>85</v>
      </c>
      <c r="I98" s="334"/>
    </row>
    <row r="99" spans="1:9" x14ac:dyDescent="0.2">
      <c r="A99" s="334"/>
      <c r="B99" s="334"/>
      <c r="C99" s="334"/>
      <c r="D99" s="336"/>
      <c r="E99" s="336"/>
      <c r="F99" s="336"/>
      <c r="G99" s="336"/>
      <c r="H99" s="336"/>
      <c r="I99" s="334"/>
    </row>
    <row r="100" spans="1:9" ht="15" x14ac:dyDescent="0.25">
      <c r="A100" s="337"/>
      <c r="B100" s="338" t="s">
        <v>156</v>
      </c>
      <c r="C100" s="337"/>
      <c r="D100" s="339"/>
      <c r="E100" s="339"/>
      <c r="F100" s="339"/>
      <c r="G100" s="339"/>
      <c r="H100" s="339"/>
      <c r="I100" s="337"/>
    </row>
    <row r="101" spans="1:9" x14ac:dyDescent="0.2">
      <c r="A101" s="337"/>
      <c r="B101" s="308" t="s">
        <v>133</v>
      </c>
      <c r="C101" s="309" t="s">
        <v>29</v>
      </c>
      <c r="D101" s="310"/>
      <c r="E101" s="310"/>
      <c r="F101" s="310"/>
      <c r="G101" s="310"/>
      <c r="H101" s="310"/>
      <c r="I101" s="337"/>
    </row>
    <row r="102" spans="1:9" x14ac:dyDescent="0.2">
      <c r="A102" s="337"/>
      <c r="B102" s="308" t="s">
        <v>134</v>
      </c>
      <c r="C102" s="309" t="s">
        <v>61</v>
      </c>
      <c r="D102" s="106" t="s">
        <v>74</v>
      </c>
      <c r="E102" s="106" t="s">
        <v>74</v>
      </c>
      <c r="F102" s="106" t="s">
        <v>74</v>
      </c>
      <c r="G102" s="106" t="s">
        <v>74</v>
      </c>
      <c r="H102" s="106" t="s">
        <v>74</v>
      </c>
      <c r="I102" s="337"/>
    </row>
    <row r="103" spans="1:9" x14ac:dyDescent="0.2">
      <c r="A103" s="337"/>
      <c r="B103" s="308" t="s">
        <v>136</v>
      </c>
      <c r="C103" s="309" t="s">
        <v>29</v>
      </c>
      <c r="D103" s="310"/>
      <c r="E103" s="310"/>
      <c r="F103" s="310"/>
      <c r="G103" s="310"/>
      <c r="H103" s="310"/>
      <c r="I103" s="337"/>
    </row>
    <row r="104" spans="1:9" x14ac:dyDescent="0.2">
      <c r="A104" s="337"/>
      <c r="B104" s="311" t="s">
        <v>129</v>
      </c>
      <c r="C104" s="312" t="s">
        <v>49</v>
      </c>
      <c r="D104" s="310"/>
      <c r="E104" s="310"/>
      <c r="F104" s="310"/>
      <c r="G104" s="310"/>
      <c r="H104" s="310"/>
      <c r="I104" s="337"/>
    </row>
    <row r="105" spans="1:9" x14ac:dyDescent="0.2">
      <c r="A105" s="337"/>
      <c r="B105" s="308" t="s">
        <v>130</v>
      </c>
      <c r="C105" s="309" t="s">
        <v>61</v>
      </c>
      <c r="D105" s="107" t="s">
        <v>85</v>
      </c>
      <c r="E105" s="107" t="s">
        <v>85</v>
      </c>
      <c r="F105" s="107" t="s">
        <v>85</v>
      </c>
      <c r="G105" s="107" t="s">
        <v>85</v>
      </c>
      <c r="H105" s="107" t="s">
        <v>85</v>
      </c>
      <c r="I105" s="337"/>
    </row>
    <row r="106" spans="1:9" x14ac:dyDescent="0.2">
      <c r="A106" s="337"/>
      <c r="B106" s="500" t="s">
        <v>253</v>
      </c>
      <c r="C106" s="501"/>
      <c r="D106" s="498">
        <v>1</v>
      </c>
      <c r="E106" s="498">
        <v>1</v>
      </c>
      <c r="F106" s="498">
        <v>1</v>
      </c>
      <c r="G106" s="498">
        <v>1</v>
      </c>
      <c r="H106" s="498">
        <v>1</v>
      </c>
      <c r="I106" s="337"/>
    </row>
    <row r="107" spans="1:9" x14ac:dyDescent="0.2">
      <c r="A107" s="337"/>
      <c r="B107" s="311" t="s">
        <v>131</v>
      </c>
      <c r="C107" s="312" t="s">
        <v>50</v>
      </c>
      <c r="D107" s="310"/>
      <c r="E107" s="310"/>
      <c r="F107" s="310"/>
      <c r="G107" s="310"/>
      <c r="H107" s="310"/>
      <c r="I107" s="337"/>
    </row>
    <row r="108" spans="1:9" x14ac:dyDescent="0.2">
      <c r="A108" s="337"/>
      <c r="B108" s="308" t="s">
        <v>130</v>
      </c>
      <c r="C108" s="309" t="s">
        <v>61</v>
      </c>
      <c r="D108" s="107" t="s">
        <v>85</v>
      </c>
      <c r="E108" s="107" t="s">
        <v>85</v>
      </c>
      <c r="F108" s="107" t="s">
        <v>85</v>
      </c>
      <c r="G108" s="107" t="s">
        <v>85</v>
      </c>
      <c r="H108" s="107" t="s">
        <v>85</v>
      </c>
      <c r="I108" s="337"/>
    </row>
    <row r="109" spans="1:9" x14ac:dyDescent="0.2">
      <c r="A109" s="337"/>
      <c r="B109" s="321"/>
      <c r="C109" s="321"/>
      <c r="D109" s="322"/>
      <c r="E109" s="322"/>
      <c r="F109" s="322"/>
      <c r="G109" s="322"/>
      <c r="H109" s="322"/>
      <c r="I109" s="337"/>
    </row>
    <row r="110" spans="1:9" ht="15" x14ac:dyDescent="0.25">
      <c r="A110" s="337"/>
      <c r="B110" s="338" t="s">
        <v>157</v>
      </c>
      <c r="C110" s="337"/>
      <c r="D110" s="339"/>
      <c r="E110" s="339"/>
      <c r="F110" s="339"/>
      <c r="G110" s="339"/>
      <c r="H110" s="339"/>
      <c r="I110" s="337"/>
    </row>
    <row r="111" spans="1:9" x14ac:dyDescent="0.2">
      <c r="A111" s="337"/>
      <c r="B111" s="308" t="s">
        <v>133</v>
      </c>
      <c r="C111" s="309" t="s">
        <v>29</v>
      </c>
      <c r="D111" s="310"/>
      <c r="E111" s="310"/>
      <c r="F111" s="310"/>
      <c r="G111" s="310"/>
      <c r="H111" s="310"/>
      <c r="I111" s="337"/>
    </row>
    <row r="112" spans="1:9" x14ac:dyDescent="0.2">
      <c r="A112" s="337"/>
      <c r="B112" s="308" t="s">
        <v>134</v>
      </c>
      <c r="C112" s="309" t="s">
        <v>61</v>
      </c>
      <c r="D112" s="106" t="s">
        <v>74</v>
      </c>
      <c r="E112" s="106" t="s">
        <v>74</v>
      </c>
      <c r="F112" s="106" t="s">
        <v>74</v>
      </c>
      <c r="G112" s="106" t="s">
        <v>74</v>
      </c>
      <c r="H112" s="106" t="s">
        <v>74</v>
      </c>
      <c r="I112" s="337"/>
    </row>
    <row r="113" spans="1:9" x14ac:dyDescent="0.2">
      <c r="A113" s="337"/>
      <c r="B113" s="308" t="s">
        <v>136</v>
      </c>
      <c r="C113" s="309" t="s">
        <v>29</v>
      </c>
      <c r="D113" s="310"/>
      <c r="E113" s="310"/>
      <c r="F113" s="310"/>
      <c r="G113" s="310"/>
      <c r="H113" s="310"/>
      <c r="I113" s="337"/>
    </row>
    <row r="114" spans="1:9" x14ac:dyDescent="0.2">
      <c r="A114" s="337"/>
      <c r="B114" s="311" t="s">
        <v>129</v>
      </c>
      <c r="C114" s="312" t="s">
        <v>49</v>
      </c>
      <c r="D114" s="310"/>
      <c r="E114" s="310"/>
      <c r="F114" s="310"/>
      <c r="G114" s="310"/>
      <c r="H114" s="310"/>
      <c r="I114" s="337"/>
    </row>
    <row r="115" spans="1:9" x14ac:dyDescent="0.2">
      <c r="A115" s="337"/>
      <c r="B115" s="308" t="s">
        <v>130</v>
      </c>
      <c r="C115" s="309" t="s">
        <v>61</v>
      </c>
      <c r="D115" s="107" t="s">
        <v>85</v>
      </c>
      <c r="E115" s="107" t="s">
        <v>85</v>
      </c>
      <c r="F115" s="107" t="s">
        <v>85</v>
      </c>
      <c r="G115" s="107" t="s">
        <v>85</v>
      </c>
      <c r="H115" s="107" t="s">
        <v>85</v>
      </c>
      <c r="I115" s="337"/>
    </row>
    <row r="116" spans="1:9" x14ac:dyDescent="0.2">
      <c r="A116" s="337"/>
      <c r="B116" s="500" t="s">
        <v>253</v>
      </c>
      <c r="C116" s="501"/>
      <c r="D116" s="498">
        <v>1</v>
      </c>
      <c r="E116" s="498">
        <v>1</v>
      </c>
      <c r="F116" s="498">
        <v>1</v>
      </c>
      <c r="G116" s="498">
        <v>1</v>
      </c>
      <c r="H116" s="498">
        <v>1</v>
      </c>
      <c r="I116" s="337"/>
    </row>
    <row r="117" spans="1:9" x14ac:dyDescent="0.2">
      <c r="A117" s="337"/>
      <c r="B117" s="311" t="s">
        <v>131</v>
      </c>
      <c r="C117" s="312" t="s">
        <v>50</v>
      </c>
      <c r="D117" s="310"/>
      <c r="E117" s="310"/>
      <c r="F117" s="310"/>
      <c r="G117" s="310"/>
      <c r="H117" s="310"/>
      <c r="I117" s="337"/>
    </row>
    <row r="118" spans="1:9" x14ac:dyDescent="0.2">
      <c r="A118" s="337"/>
      <c r="B118" s="308" t="s">
        <v>130</v>
      </c>
      <c r="C118" s="309" t="s">
        <v>61</v>
      </c>
      <c r="D118" s="107" t="s">
        <v>85</v>
      </c>
      <c r="E118" s="107" t="s">
        <v>85</v>
      </c>
      <c r="F118" s="107" t="s">
        <v>85</v>
      </c>
      <c r="G118" s="107" t="s">
        <v>85</v>
      </c>
      <c r="H118" s="107" t="s">
        <v>85</v>
      </c>
      <c r="I118" s="337"/>
    </row>
    <row r="119" spans="1:9" x14ac:dyDescent="0.2">
      <c r="A119" s="337"/>
      <c r="B119" s="321"/>
      <c r="C119" s="321"/>
      <c r="D119" s="322"/>
      <c r="E119" s="322"/>
      <c r="F119" s="322"/>
      <c r="G119" s="322"/>
      <c r="H119" s="322"/>
      <c r="I119" s="337"/>
    </row>
    <row r="120" spans="1:9" ht="15" x14ac:dyDescent="0.25">
      <c r="A120" s="337"/>
      <c r="B120" s="338" t="s">
        <v>190</v>
      </c>
      <c r="C120" s="337"/>
      <c r="D120" s="339"/>
      <c r="E120" s="339"/>
      <c r="F120" s="339"/>
      <c r="G120" s="339"/>
      <c r="H120" s="339"/>
      <c r="I120" s="337"/>
    </row>
    <row r="121" spans="1:9" x14ac:dyDescent="0.2">
      <c r="A121" s="337"/>
      <c r="B121" s="308" t="s">
        <v>133</v>
      </c>
      <c r="C121" s="309" t="s">
        <v>29</v>
      </c>
      <c r="D121" s="310"/>
      <c r="E121" s="310"/>
      <c r="F121" s="310"/>
      <c r="G121" s="310"/>
      <c r="H121" s="310"/>
      <c r="I121" s="337"/>
    </row>
    <row r="122" spans="1:9" x14ac:dyDescent="0.2">
      <c r="A122" s="337"/>
      <c r="B122" s="308" t="s">
        <v>134</v>
      </c>
      <c r="C122" s="309" t="s">
        <v>61</v>
      </c>
      <c r="D122" s="106" t="s">
        <v>74</v>
      </c>
      <c r="E122" s="106" t="s">
        <v>74</v>
      </c>
      <c r="F122" s="106" t="s">
        <v>74</v>
      </c>
      <c r="G122" s="106" t="s">
        <v>74</v>
      </c>
      <c r="H122" s="106" t="s">
        <v>74</v>
      </c>
      <c r="I122" s="337"/>
    </row>
    <row r="123" spans="1:9" x14ac:dyDescent="0.2">
      <c r="A123" s="337"/>
      <c r="B123" s="308" t="s">
        <v>136</v>
      </c>
      <c r="C123" s="309" t="s">
        <v>29</v>
      </c>
      <c r="D123" s="310"/>
      <c r="E123" s="310"/>
      <c r="F123" s="310"/>
      <c r="G123" s="310"/>
      <c r="H123" s="310"/>
      <c r="I123" s="337"/>
    </row>
    <row r="124" spans="1:9" x14ac:dyDescent="0.2">
      <c r="A124" s="337"/>
      <c r="B124" s="311" t="s">
        <v>129</v>
      </c>
      <c r="C124" s="312" t="s">
        <v>49</v>
      </c>
      <c r="D124" s="310"/>
      <c r="E124" s="310"/>
      <c r="F124" s="310"/>
      <c r="G124" s="310"/>
      <c r="H124" s="310"/>
      <c r="I124" s="337"/>
    </row>
    <row r="125" spans="1:9" x14ac:dyDescent="0.2">
      <c r="A125" s="337"/>
      <c r="B125" s="308" t="s">
        <v>130</v>
      </c>
      <c r="C125" s="309" t="s">
        <v>61</v>
      </c>
      <c r="D125" s="107" t="s">
        <v>85</v>
      </c>
      <c r="E125" s="107" t="s">
        <v>85</v>
      </c>
      <c r="F125" s="107" t="s">
        <v>85</v>
      </c>
      <c r="G125" s="107" t="s">
        <v>85</v>
      </c>
      <c r="H125" s="107" t="s">
        <v>85</v>
      </c>
      <c r="I125" s="337"/>
    </row>
    <row r="126" spans="1:9" x14ac:dyDescent="0.2">
      <c r="A126" s="337"/>
      <c r="B126" s="500" t="s">
        <v>253</v>
      </c>
      <c r="C126" s="501"/>
      <c r="D126" s="498">
        <v>1</v>
      </c>
      <c r="E126" s="498">
        <v>1</v>
      </c>
      <c r="F126" s="498">
        <v>1</v>
      </c>
      <c r="G126" s="498">
        <v>1</v>
      </c>
      <c r="H126" s="498">
        <v>1</v>
      </c>
      <c r="I126" s="337"/>
    </row>
    <row r="127" spans="1:9" x14ac:dyDescent="0.2">
      <c r="A127" s="337"/>
      <c r="B127" s="311" t="s">
        <v>131</v>
      </c>
      <c r="C127" s="312" t="s">
        <v>50</v>
      </c>
      <c r="D127" s="310"/>
      <c r="E127" s="310"/>
      <c r="F127" s="310"/>
      <c r="G127" s="310"/>
      <c r="H127" s="310"/>
      <c r="I127" s="337"/>
    </row>
    <row r="128" spans="1:9" x14ac:dyDescent="0.2">
      <c r="A128" s="337"/>
      <c r="B128" s="308" t="s">
        <v>130</v>
      </c>
      <c r="C128" s="309" t="s">
        <v>61</v>
      </c>
      <c r="D128" s="107" t="s">
        <v>85</v>
      </c>
      <c r="E128" s="107" t="s">
        <v>85</v>
      </c>
      <c r="F128" s="107" t="s">
        <v>85</v>
      </c>
      <c r="G128" s="107" t="s">
        <v>85</v>
      </c>
      <c r="H128" s="107" t="s">
        <v>85</v>
      </c>
      <c r="I128" s="337"/>
    </row>
    <row r="129" spans="1:9" x14ac:dyDescent="0.2">
      <c r="A129" s="337"/>
      <c r="B129" s="337"/>
      <c r="C129" s="337"/>
      <c r="D129" s="345"/>
      <c r="E129" s="345"/>
      <c r="F129" s="345"/>
      <c r="G129" s="345"/>
      <c r="H129" s="345"/>
      <c r="I129" s="337"/>
    </row>
    <row r="130" spans="1:9" ht="15" x14ac:dyDescent="0.25">
      <c r="A130" s="344"/>
      <c r="B130" s="417" t="s">
        <v>230</v>
      </c>
      <c r="C130" s="350"/>
      <c r="D130" s="351"/>
      <c r="E130" s="351"/>
      <c r="F130" s="351"/>
      <c r="G130" s="351"/>
      <c r="H130" s="351"/>
      <c r="I130" s="344"/>
    </row>
    <row r="131" spans="1:9" x14ac:dyDescent="0.2">
      <c r="A131" s="344"/>
      <c r="B131" s="418" t="s">
        <v>229</v>
      </c>
      <c r="C131" s="419" t="s">
        <v>29</v>
      </c>
      <c r="D131" s="310"/>
      <c r="E131" s="310"/>
      <c r="F131" s="310"/>
      <c r="G131" s="310"/>
      <c r="H131" s="310"/>
      <c r="I131" s="344"/>
    </row>
    <row r="132" spans="1:9" x14ac:dyDescent="0.2">
      <c r="A132" s="344"/>
      <c r="B132" s="418" t="s">
        <v>233</v>
      </c>
      <c r="C132" s="309" t="s">
        <v>128</v>
      </c>
      <c r="D132" s="310"/>
      <c r="E132" s="310"/>
      <c r="F132" s="310"/>
      <c r="G132" s="310"/>
      <c r="H132" s="310"/>
      <c r="I132" s="344"/>
    </row>
    <row r="133" spans="1:9" x14ac:dyDescent="0.2">
      <c r="A133" s="344"/>
      <c r="B133" s="341" t="s">
        <v>194</v>
      </c>
      <c r="C133" s="342" t="s">
        <v>195</v>
      </c>
      <c r="D133" s="416"/>
      <c r="E133" s="416"/>
      <c r="F133" s="416"/>
      <c r="G133" s="416"/>
      <c r="H133" s="416"/>
      <c r="I133" s="344"/>
    </row>
    <row r="134" spans="1:9" x14ac:dyDescent="0.2">
      <c r="A134" s="344"/>
      <c r="B134" s="308" t="s">
        <v>130</v>
      </c>
      <c r="C134" s="309" t="s">
        <v>61</v>
      </c>
      <c r="D134" s="107" t="s">
        <v>85</v>
      </c>
      <c r="E134" s="107" t="s">
        <v>85</v>
      </c>
      <c r="F134" s="107" t="s">
        <v>85</v>
      </c>
      <c r="G134" s="107" t="s">
        <v>85</v>
      </c>
      <c r="H134" s="107" t="s">
        <v>85</v>
      </c>
      <c r="I134" s="344"/>
    </row>
    <row r="135" spans="1:9" x14ac:dyDescent="0.2">
      <c r="A135" s="344"/>
      <c r="B135" s="500" t="s">
        <v>253</v>
      </c>
      <c r="C135" s="501"/>
      <c r="D135" s="498">
        <v>1</v>
      </c>
      <c r="E135" s="498">
        <v>1</v>
      </c>
      <c r="F135" s="498">
        <v>1</v>
      </c>
      <c r="G135" s="498">
        <v>1</v>
      </c>
      <c r="H135" s="498">
        <v>1</v>
      </c>
      <c r="I135" s="344"/>
    </row>
    <row r="136" spans="1:9" x14ac:dyDescent="0.2">
      <c r="A136" s="344"/>
      <c r="B136" s="311" t="s">
        <v>234</v>
      </c>
      <c r="C136" s="312" t="s">
        <v>235</v>
      </c>
      <c r="D136" s="310"/>
      <c r="E136" s="416"/>
      <c r="F136" s="310"/>
      <c r="G136" s="310"/>
      <c r="H136" s="310"/>
      <c r="I136" s="344"/>
    </row>
    <row r="137" spans="1:9" x14ac:dyDescent="0.2">
      <c r="A137" s="344"/>
      <c r="B137" s="308" t="s">
        <v>130</v>
      </c>
      <c r="C137" s="309" t="s">
        <v>61</v>
      </c>
      <c r="D137" s="107" t="s">
        <v>85</v>
      </c>
      <c r="E137" s="107" t="s">
        <v>85</v>
      </c>
      <c r="F137" s="107" t="s">
        <v>85</v>
      </c>
      <c r="G137" s="107" t="s">
        <v>85</v>
      </c>
      <c r="H137" s="107" t="s">
        <v>85</v>
      </c>
      <c r="I137" s="344"/>
    </row>
    <row r="138" spans="1:9" ht="15" x14ac:dyDescent="0.25">
      <c r="A138" s="344"/>
      <c r="B138" s="565" t="s">
        <v>263</v>
      </c>
      <c r="C138" s="547"/>
      <c r="D138" s="107" t="s">
        <v>262</v>
      </c>
      <c r="E138" s="107" t="s">
        <v>262</v>
      </c>
      <c r="F138" s="107" t="s">
        <v>262</v>
      </c>
      <c r="G138" s="107" t="s">
        <v>262</v>
      </c>
      <c r="H138" s="107" t="s">
        <v>262</v>
      </c>
      <c r="I138" s="344"/>
    </row>
    <row r="139" spans="1:9" ht="15" x14ac:dyDescent="0.25">
      <c r="A139" s="344"/>
      <c r="B139" s="417" t="s">
        <v>231</v>
      </c>
      <c r="C139" s="350"/>
      <c r="D139" s="351"/>
      <c r="E139" s="351"/>
      <c r="F139" s="351"/>
      <c r="G139" s="351"/>
      <c r="H139" s="351"/>
      <c r="I139" s="344"/>
    </row>
    <row r="140" spans="1:9" x14ac:dyDescent="0.2">
      <c r="A140" s="344"/>
      <c r="B140" s="418" t="s">
        <v>229</v>
      </c>
      <c r="C140" s="419" t="s">
        <v>29</v>
      </c>
      <c r="D140" s="310"/>
      <c r="E140" s="310"/>
      <c r="F140" s="310"/>
      <c r="G140" s="310"/>
      <c r="H140" s="310"/>
      <c r="I140" s="344"/>
    </row>
    <row r="141" spans="1:9" x14ac:dyDescent="0.2">
      <c r="A141" s="344"/>
      <c r="B141" s="418" t="s">
        <v>233</v>
      </c>
      <c r="C141" s="309" t="s">
        <v>128</v>
      </c>
      <c r="D141" s="310"/>
      <c r="E141" s="310"/>
      <c r="F141" s="310"/>
      <c r="G141" s="310"/>
      <c r="H141" s="310"/>
      <c r="I141" s="344"/>
    </row>
    <row r="142" spans="1:9" x14ac:dyDescent="0.2">
      <c r="A142" s="344"/>
      <c r="B142" s="341" t="s">
        <v>194</v>
      </c>
      <c r="C142" s="342" t="s">
        <v>195</v>
      </c>
      <c r="D142" s="416"/>
      <c r="E142" s="416"/>
      <c r="F142" s="416"/>
      <c r="G142" s="416"/>
      <c r="H142" s="416"/>
      <c r="I142" s="344"/>
    </row>
    <row r="143" spans="1:9" x14ac:dyDescent="0.2">
      <c r="A143" s="344"/>
      <c r="B143" s="308" t="s">
        <v>130</v>
      </c>
      <c r="C143" s="309" t="s">
        <v>61</v>
      </c>
      <c r="D143" s="107" t="s">
        <v>85</v>
      </c>
      <c r="E143" s="107" t="s">
        <v>85</v>
      </c>
      <c r="F143" s="107" t="s">
        <v>85</v>
      </c>
      <c r="G143" s="107" t="s">
        <v>85</v>
      </c>
      <c r="H143" s="107" t="s">
        <v>85</v>
      </c>
      <c r="I143" s="344"/>
    </row>
    <row r="144" spans="1:9" x14ac:dyDescent="0.2">
      <c r="A144" s="344"/>
      <c r="B144" s="500" t="s">
        <v>253</v>
      </c>
      <c r="C144" s="501"/>
      <c r="D144" s="498">
        <v>1</v>
      </c>
      <c r="E144" s="498">
        <v>1</v>
      </c>
      <c r="F144" s="498">
        <v>1</v>
      </c>
      <c r="G144" s="498">
        <v>1</v>
      </c>
      <c r="H144" s="498">
        <v>1</v>
      </c>
      <c r="I144" s="344"/>
    </row>
    <row r="145" spans="1:9" x14ac:dyDescent="0.2">
      <c r="A145" s="344"/>
      <c r="B145" s="311" t="s">
        <v>234</v>
      </c>
      <c r="C145" s="312" t="s">
        <v>235</v>
      </c>
      <c r="D145" s="310"/>
      <c r="E145" s="416"/>
      <c r="F145" s="310"/>
      <c r="G145" s="310"/>
      <c r="H145" s="310"/>
      <c r="I145" s="344"/>
    </row>
    <row r="146" spans="1:9" x14ac:dyDescent="0.2">
      <c r="A146" s="344"/>
      <c r="B146" s="308" t="s">
        <v>130</v>
      </c>
      <c r="C146" s="309" t="s">
        <v>61</v>
      </c>
      <c r="D146" s="107" t="s">
        <v>85</v>
      </c>
      <c r="E146" s="107" t="s">
        <v>85</v>
      </c>
      <c r="F146" s="107" t="s">
        <v>85</v>
      </c>
      <c r="G146" s="107" t="s">
        <v>85</v>
      </c>
      <c r="H146" s="107" t="s">
        <v>85</v>
      </c>
      <c r="I146" s="344"/>
    </row>
    <row r="147" spans="1:9" ht="15" x14ac:dyDescent="0.25">
      <c r="A147" s="344"/>
      <c r="B147" s="565" t="s">
        <v>263</v>
      </c>
      <c r="C147" s="547"/>
      <c r="D147" s="107" t="s">
        <v>262</v>
      </c>
      <c r="E147" s="107" t="s">
        <v>262</v>
      </c>
      <c r="F147" s="107" t="s">
        <v>262</v>
      </c>
      <c r="G147" s="107" t="s">
        <v>262</v>
      </c>
      <c r="H147" s="107" t="s">
        <v>262</v>
      </c>
      <c r="I147" s="344"/>
    </row>
    <row r="148" spans="1:9" ht="15" x14ac:dyDescent="0.25">
      <c r="A148" s="344"/>
      <c r="B148" s="417" t="s">
        <v>232</v>
      </c>
      <c r="C148" s="350"/>
      <c r="D148" s="351"/>
      <c r="E148" s="351"/>
      <c r="F148" s="351"/>
      <c r="G148" s="351"/>
      <c r="H148" s="351"/>
      <c r="I148" s="344"/>
    </row>
    <row r="149" spans="1:9" x14ac:dyDescent="0.2">
      <c r="A149" s="344"/>
      <c r="B149" s="418" t="s">
        <v>229</v>
      </c>
      <c r="C149" s="419" t="s">
        <v>29</v>
      </c>
      <c r="D149" s="310"/>
      <c r="E149" s="310"/>
      <c r="F149" s="310"/>
      <c r="G149" s="310"/>
      <c r="H149" s="310"/>
      <c r="I149" s="344"/>
    </row>
    <row r="150" spans="1:9" x14ac:dyDescent="0.2">
      <c r="A150" s="344"/>
      <c r="B150" s="418" t="s">
        <v>233</v>
      </c>
      <c r="C150" s="309" t="s">
        <v>128</v>
      </c>
      <c r="D150" s="310"/>
      <c r="E150" s="310"/>
      <c r="F150" s="310"/>
      <c r="G150" s="310"/>
      <c r="H150" s="310"/>
      <c r="I150" s="344"/>
    </row>
    <row r="151" spans="1:9" x14ac:dyDescent="0.2">
      <c r="A151" s="344"/>
      <c r="B151" s="341" t="s">
        <v>194</v>
      </c>
      <c r="C151" s="342" t="s">
        <v>195</v>
      </c>
      <c r="D151" s="416"/>
      <c r="E151" s="416"/>
      <c r="F151" s="416"/>
      <c r="G151" s="416"/>
      <c r="H151" s="416"/>
      <c r="I151" s="344"/>
    </row>
    <row r="152" spans="1:9" x14ac:dyDescent="0.2">
      <c r="A152" s="344"/>
      <c r="B152" s="308" t="s">
        <v>130</v>
      </c>
      <c r="C152" s="309" t="s">
        <v>61</v>
      </c>
      <c r="D152" s="107" t="s">
        <v>85</v>
      </c>
      <c r="E152" s="107" t="s">
        <v>85</v>
      </c>
      <c r="F152" s="107" t="s">
        <v>85</v>
      </c>
      <c r="G152" s="107" t="s">
        <v>85</v>
      </c>
      <c r="H152" s="107" t="s">
        <v>85</v>
      </c>
      <c r="I152" s="344"/>
    </row>
    <row r="153" spans="1:9" x14ac:dyDescent="0.2">
      <c r="A153" s="344"/>
      <c r="B153" s="500" t="s">
        <v>253</v>
      </c>
      <c r="C153" s="501"/>
      <c r="D153" s="498">
        <v>1</v>
      </c>
      <c r="E153" s="498">
        <v>1</v>
      </c>
      <c r="F153" s="498">
        <v>1</v>
      </c>
      <c r="G153" s="498">
        <v>1</v>
      </c>
      <c r="H153" s="498">
        <v>1</v>
      </c>
      <c r="I153" s="344"/>
    </row>
    <row r="154" spans="1:9" x14ac:dyDescent="0.2">
      <c r="A154" s="344"/>
      <c r="B154" s="311" t="s">
        <v>234</v>
      </c>
      <c r="C154" s="312" t="s">
        <v>235</v>
      </c>
      <c r="D154" s="310"/>
      <c r="E154" s="416"/>
      <c r="F154" s="310"/>
      <c r="G154" s="310"/>
      <c r="H154" s="310"/>
      <c r="I154" s="344"/>
    </row>
    <row r="155" spans="1:9" x14ac:dyDescent="0.2">
      <c r="A155" s="344"/>
      <c r="B155" s="308" t="s">
        <v>130</v>
      </c>
      <c r="C155" s="309" t="s">
        <v>61</v>
      </c>
      <c r="D155" s="107" t="s">
        <v>85</v>
      </c>
      <c r="E155" s="107" t="s">
        <v>85</v>
      </c>
      <c r="F155" s="107" t="s">
        <v>85</v>
      </c>
      <c r="G155" s="107" t="s">
        <v>85</v>
      </c>
      <c r="H155" s="107" t="s">
        <v>85</v>
      </c>
      <c r="I155" s="344"/>
    </row>
    <row r="156" spans="1:9" ht="15" x14ac:dyDescent="0.25">
      <c r="A156" s="344"/>
      <c r="B156" s="565" t="s">
        <v>263</v>
      </c>
      <c r="C156" s="547"/>
      <c r="D156" s="107" t="s">
        <v>262</v>
      </c>
      <c r="E156" s="107" t="s">
        <v>262</v>
      </c>
      <c r="F156" s="107" t="s">
        <v>262</v>
      </c>
      <c r="G156" s="107" t="s">
        <v>262</v>
      </c>
      <c r="H156" s="107" t="s">
        <v>262</v>
      </c>
      <c r="I156" s="344"/>
    </row>
    <row r="157" spans="1:9" x14ac:dyDescent="0.2">
      <c r="A157" s="344"/>
      <c r="B157" s="344"/>
      <c r="C157" s="344"/>
      <c r="D157" s="352"/>
      <c r="E157" s="352"/>
      <c r="F157" s="352"/>
      <c r="G157" s="352"/>
      <c r="H157" s="352"/>
      <c r="I157" s="344"/>
    </row>
    <row r="158" spans="1:9" ht="15" x14ac:dyDescent="0.25">
      <c r="A158" s="474"/>
      <c r="B158" s="476" t="s">
        <v>252</v>
      </c>
      <c r="C158" s="474"/>
      <c r="D158" s="475"/>
      <c r="E158" s="475"/>
      <c r="F158" s="475"/>
      <c r="G158" s="475"/>
      <c r="H158" s="475"/>
      <c r="I158" s="474"/>
    </row>
    <row r="159" spans="1:9" x14ac:dyDescent="0.2">
      <c r="A159" s="474"/>
      <c r="B159" s="418" t="s">
        <v>248</v>
      </c>
      <c r="C159" s="419" t="s">
        <v>49</v>
      </c>
      <c r="D159" s="310"/>
      <c r="E159" s="310"/>
      <c r="F159" s="310"/>
      <c r="G159" s="310"/>
      <c r="H159" s="310"/>
      <c r="I159" s="474"/>
    </row>
    <row r="160" spans="1:9" x14ac:dyDescent="0.2">
      <c r="A160" s="474"/>
      <c r="B160" s="418" t="s">
        <v>249</v>
      </c>
      <c r="C160" s="419" t="s">
        <v>49</v>
      </c>
      <c r="D160" s="310"/>
      <c r="E160" s="310"/>
      <c r="F160" s="310"/>
      <c r="G160" s="310"/>
      <c r="H160" s="310"/>
      <c r="I160" s="474"/>
    </row>
    <row r="161" spans="1:9" x14ac:dyDescent="0.2">
      <c r="A161" s="474"/>
      <c r="B161" s="418" t="s">
        <v>250</v>
      </c>
      <c r="C161" s="419" t="s">
        <v>49</v>
      </c>
      <c r="D161" s="310"/>
      <c r="E161" s="310"/>
      <c r="F161" s="310"/>
      <c r="G161" s="310"/>
      <c r="H161" s="310"/>
      <c r="I161" s="474"/>
    </row>
    <row r="162" spans="1:9" x14ac:dyDescent="0.2">
      <c r="A162" s="474"/>
      <c r="B162" s="474"/>
      <c r="C162" s="474"/>
      <c r="D162" s="475"/>
      <c r="E162" s="475"/>
      <c r="F162" s="475"/>
      <c r="G162" s="475"/>
      <c r="H162" s="475"/>
      <c r="I162" s="474"/>
    </row>
    <row r="163" spans="1:9" x14ac:dyDescent="0.2">
      <c r="D163" s="349"/>
      <c r="E163" s="349"/>
      <c r="F163" s="349"/>
      <c r="G163" s="349"/>
      <c r="H163" s="349"/>
    </row>
    <row r="164" spans="1:9" x14ac:dyDescent="0.2">
      <c r="D164" s="349"/>
      <c r="E164" s="349"/>
      <c r="F164" s="349"/>
      <c r="G164" s="349"/>
      <c r="H164" s="349"/>
    </row>
    <row r="165" spans="1:9" s="597" customFormat="1" ht="18" x14ac:dyDescent="0.25">
      <c r="B165" s="598" t="s">
        <v>282</v>
      </c>
      <c r="D165" s="599"/>
      <c r="E165" s="599"/>
      <c r="F165" s="599"/>
      <c r="G165" s="599"/>
      <c r="H165" s="599"/>
    </row>
    <row r="166" spans="1:9" s="600" customFormat="1" ht="18" x14ac:dyDescent="0.25">
      <c r="B166" s="604" t="s">
        <v>32</v>
      </c>
      <c r="C166" s="605" t="s">
        <v>10</v>
      </c>
      <c r="D166" s="606">
        <v>3</v>
      </c>
      <c r="E166" s="606">
        <v>3</v>
      </c>
      <c r="F166" s="606">
        <v>3</v>
      </c>
      <c r="G166" s="606">
        <v>3</v>
      </c>
      <c r="H166" s="606">
        <v>3</v>
      </c>
    </row>
    <row r="167" spans="1:9" s="597" customFormat="1" ht="18" x14ac:dyDescent="0.25">
      <c r="B167" s="601" t="s">
        <v>135</v>
      </c>
      <c r="C167" s="602" t="s">
        <v>10</v>
      </c>
      <c r="D167" s="603">
        <v>2</v>
      </c>
      <c r="E167" s="603">
        <v>2</v>
      </c>
      <c r="F167" s="603">
        <v>2</v>
      </c>
      <c r="G167" s="603">
        <v>2</v>
      </c>
      <c r="H167" s="603">
        <v>2</v>
      </c>
    </row>
    <row r="176" spans="1:9" ht="15" customHeight="1" thickBot="1" x14ac:dyDescent="0.25"/>
    <row r="177" spans="2:5" s="316" customFormat="1" ht="15" customHeight="1" x14ac:dyDescent="0.2">
      <c r="B177" s="427" t="s">
        <v>147</v>
      </c>
      <c r="C177" s="437"/>
      <c r="D177" s="438"/>
      <c r="E177" s="112"/>
    </row>
    <row r="178" spans="2:5" s="316" customFormat="1" ht="15" customHeight="1" x14ac:dyDescent="0.2">
      <c r="B178" s="428"/>
      <c r="C178" s="112"/>
      <c r="D178" s="439"/>
      <c r="E178" s="112"/>
    </row>
    <row r="179" spans="2:5" s="316" customFormat="1" ht="15" customHeight="1" x14ac:dyDescent="0.2">
      <c r="B179" s="429" t="s">
        <v>59</v>
      </c>
      <c r="C179" s="441"/>
      <c r="D179" s="442"/>
      <c r="E179" s="112"/>
    </row>
    <row r="180" spans="2:5" s="316" customFormat="1" ht="15" customHeight="1" x14ac:dyDescent="0.2">
      <c r="B180" s="430" t="s">
        <v>60</v>
      </c>
      <c r="C180" s="443"/>
      <c r="D180" s="444"/>
      <c r="E180" s="112"/>
    </row>
    <row r="181" spans="2:5" s="316" customFormat="1" ht="15" customHeight="1" x14ac:dyDescent="0.2">
      <c r="B181" s="428"/>
      <c r="C181" s="445"/>
      <c r="D181" s="446"/>
      <c r="E181" s="112"/>
    </row>
    <row r="182" spans="2:5" s="316" customFormat="1" ht="15" customHeight="1" x14ac:dyDescent="0.2">
      <c r="B182" s="431" t="s">
        <v>56</v>
      </c>
      <c r="C182" s="112"/>
      <c r="D182" s="439"/>
      <c r="E182" s="112"/>
    </row>
    <row r="183" spans="2:5" s="316" customFormat="1" ht="15" customHeight="1" x14ac:dyDescent="0.2">
      <c r="B183" s="432" t="s">
        <v>57</v>
      </c>
      <c r="C183" s="112"/>
      <c r="D183" s="439"/>
      <c r="E183" s="112"/>
    </row>
    <row r="184" spans="2:5" s="316" customFormat="1" ht="15" customHeight="1" x14ac:dyDescent="0.2">
      <c r="B184" s="433" t="s">
        <v>58</v>
      </c>
      <c r="C184" s="112"/>
      <c r="D184" s="439"/>
      <c r="E184" s="112"/>
    </row>
    <row r="185" spans="2:5" s="316" customFormat="1" ht="15" customHeight="1" x14ac:dyDescent="0.2">
      <c r="B185" s="428"/>
      <c r="C185" s="445"/>
      <c r="D185" s="446"/>
      <c r="E185" s="112"/>
    </row>
    <row r="186" spans="2:5" s="316" customFormat="1" ht="15" customHeight="1" x14ac:dyDescent="0.2">
      <c r="B186" s="434" t="s">
        <v>64</v>
      </c>
      <c r="C186" s="441"/>
      <c r="D186" s="442"/>
      <c r="E186" s="112"/>
    </row>
    <row r="187" spans="2:5" s="316" customFormat="1" ht="15" customHeight="1" x14ac:dyDescent="0.2">
      <c r="B187" s="435" t="s">
        <v>68</v>
      </c>
      <c r="C187" s="443"/>
      <c r="D187" s="444"/>
      <c r="E187" s="112"/>
    </row>
    <row r="188" spans="2:5" s="316" customFormat="1" ht="15" customHeight="1" x14ac:dyDescent="0.2">
      <c r="B188" s="428"/>
      <c r="C188" s="112"/>
      <c r="D188" s="439"/>
      <c r="E188" s="112"/>
    </row>
    <row r="189" spans="2:5" s="316" customFormat="1" ht="15" customHeight="1" x14ac:dyDescent="0.2">
      <c r="B189" s="436" t="s">
        <v>158</v>
      </c>
      <c r="C189" s="112" t="s">
        <v>159</v>
      </c>
      <c r="D189" s="439" t="s">
        <v>170</v>
      </c>
      <c r="E189" s="112"/>
    </row>
    <row r="190" spans="2:5" s="316" customFormat="1" ht="15" customHeight="1" x14ac:dyDescent="0.2">
      <c r="B190" s="436" t="s">
        <v>163</v>
      </c>
      <c r="C190" s="112" t="s">
        <v>163</v>
      </c>
      <c r="D190" s="439" t="s">
        <v>163</v>
      </c>
      <c r="E190" s="112"/>
    </row>
    <row r="191" spans="2:5" s="316" customFormat="1" ht="15" customHeight="1" x14ac:dyDescent="0.2">
      <c r="B191" s="436" t="s">
        <v>164</v>
      </c>
      <c r="C191" s="112" t="s">
        <v>164</v>
      </c>
      <c r="D191" s="439" t="s">
        <v>164</v>
      </c>
      <c r="E191" s="112"/>
    </row>
    <row r="192" spans="2:5" s="316" customFormat="1" ht="15" customHeight="1" x14ac:dyDescent="0.2">
      <c r="B192" s="428"/>
      <c r="C192" s="112" t="s">
        <v>236</v>
      </c>
      <c r="D192" s="439" t="s">
        <v>236</v>
      </c>
      <c r="E192" s="112"/>
    </row>
    <row r="193" spans="2:5" s="316" customFormat="1" ht="15" customHeight="1" x14ac:dyDescent="0.2">
      <c r="B193" s="428"/>
      <c r="C193" s="112"/>
      <c r="D193" s="439"/>
      <c r="E193" s="112"/>
    </row>
    <row r="194" spans="2:5" s="316" customFormat="1" ht="15" customHeight="1" x14ac:dyDescent="0.2">
      <c r="B194" s="436" t="s">
        <v>165</v>
      </c>
      <c r="C194" s="112"/>
      <c r="D194" s="439"/>
      <c r="E194" s="112"/>
    </row>
    <row r="195" spans="2:5" s="316" customFormat="1" ht="15" customHeight="1" x14ac:dyDescent="0.2">
      <c r="B195" s="436" t="s">
        <v>166</v>
      </c>
      <c r="C195" s="112"/>
      <c r="D195" s="439"/>
      <c r="E195" s="112"/>
    </row>
    <row r="196" spans="2:5" s="316" customFormat="1" ht="15" customHeight="1" x14ac:dyDescent="0.2">
      <c r="B196" s="428"/>
      <c r="C196" s="112"/>
      <c r="D196" s="439"/>
      <c r="E196" s="112"/>
    </row>
    <row r="197" spans="2:5" s="316" customFormat="1" ht="15" customHeight="1" x14ac:dyDescent="0.2">
      <c r="B197" s="429" t="s">
        <v>74</v>
      </c>
      <c r="C197" s="441"/>
      <c r="D197" s="442"/>
      <c r="E197" s="112"/>
    </row>
    <row r="198" spans="2:5" s="316" customFormat="1" ht="15" customHeight="1" x14ac:dyDescent="0.2">
      <c r="B198" s="430" t="s">
        <v>75</v>
      </c>
      <c r="C198" s="443"/>
      <c r="D198" s="444"/>
      <c r="E198" s="112"/>
    </row>
    <row r="199" spans="2:5" s="316" customFormat="1" ht="15" customHeight="1" x14ac:dyDescent="0.2">
      <c r="B199" s="432"/>
      <c r="D199" s="440"/>
    </row>
    <row r="200" spans="2:5" s="316" customFormat="1" ht="15" customHeight="1" x14ac:dyDescent="0.2">
      <c r="B200" s="450" t="s">
        <v>85</v>
      </c>
      <c r="C200" s="451"/>
      <c r="D200" s="452"/>
    </row>
    <row r="201" spans="2:5" s="316" customFormat="1" ht="15" customHeight="1" thickBot="1" x14ac:dyDescent="0.25">
      <c r="B201" s="449" t="s">
        <v>82</v>
      </c>
      <c r="C201" s="447"/>
      <c r="D201" s="448"/>
    </row>
    <row r="202" spans="2:5" ht="15" customHeight="1" x14ac:dyDescent="0.2"/>
    <row r="203" spans="2:5" ht="15" customHeight="1" x14ac:dyDescent="0.2">
      <c r="B203" s="548" t="s">
        <v>262</v>
      </c>
      <c r="C203" s="549"/>
      <c r="D203" s="550"/>
    </row>
    <row r="204" spans="2:5" ht="15" customHeight="1" thickBot="1" x14ac:dyDescent="0.25">
      <c r="B204" s="551" t="s">
        <v>264</v>
      </c>
      <c r="C204" s="552"/>
      <c r="D204" s="553"/>
    </row>
  </sheetData>
  <sheetProtection algorithmName="SHA-512" hashValue="v9dvTEDL4wwxfrBfKa0te6VfomQQbu82nn4zBS/rXR6sFJA9dyp7AU9pcZDyVdMuXQ304EP4CQcMwjskSnJdBA==" saltValue="1XSf7bc2RJnzTb8YdoBVfQ==" spinCount="100000" sheet="1" objects="1" scenarios="1"/>
  <autoFilter ref="A5:J204" xr:uid="{00000000-0009-0000-0000-000003000000}"/>
  <phoneticPr fontId="11" type="noConversion"/>
  <conditionalFormatting sqref="D10:H10">
    <cfRule type="containsText" dxfId="173" priority="70" operator="containsText" text="Richtwert">
      <formula>NOT(ISERROR(SEARCH("Richtwert",D10)))</formula>
    </cfRule>
    <cfRule type="containsText" dxfId="172" priority="69" operator="containsText" text="tatsächl.">
      <formula>NOT(ISERROR(SEARCH("tatsächl.",D10)))</formula>
    </cfRule>
  </conditionalFormatting>
  <conditionalFormatting sqref="D13:H13">
    <cfRule type="containsText" dxfId="171" priority="68" operator="containsText" text="Richtwert">
      <formula>NOT(ISERROR(SEARCH("Richtwert",D13)))</formula>
    </cfRule>
    <cfRule type="containsText" dxfId="170" priority="67" operator="containsText" text="tatsächl.">
      <formula>NOT(ISERROR(SEARCH("tatsächl.",D13)))</formula>
    </cfRule>
  </conditionalFormatting>
  <conditionalFormatting sqref="D19:H19">
    <cfRule type="containsText" dxfId="169" priority="65" operator="containsText" text="tatsächl.">
      <formula>NOT(ISERROR(SEARCH("tatsächl.",D19)))</formula>
    </cfRule>
    <cfRule type="containsText" dxfId="168" priority="66" operator="containsText" text="Richtwert">
      <formula>NOT(ISERROR(SEARCH("Richtwert",D19)))</formula>
    </cfRule>
  </conditionalFormatting>
  <conditionalFormatting sqref="D22:H22">
    <cfRule type="containsText" dxfId="167" priority="64" operator="containsText" text="Richtwert">
      <formula>NOT(ISERROR(SEARCH("Richtwert",D22)))</formula>
    </cfRule>
    <cfRule type="containsText" dxfId="166" priority="63" operator="containsText" text="tatsächl.">
      <formula>NOT(ISERROR(SEARCH("tatsächl.",D22)))</formula>
    </cfRule>
  </conditionalFormatting>
  <conditionalFormatting sqref="D28:H28">
    <cfRule type="containsText" dxfId="165" priority="62" operator="containsText" text="Richtwert">
      <formula>NOT(ISERROR(SEARCH("Richtwert",D28)))</formula>
    </cfRule>
    <cfRule type="containsText" dxfId="164" priority="61" operator="containsText" text="tatsächl.">
      <formula>NOT(ISERROR(SEARCH("tatsächl.",D28)))</formula>
    </cfRule>
  </conditionalFormatting>
  <conditionalFormatting sqref="D31:H31">
    <cfRule type="containsText" dxfId="163" priority="60" operator="containsText" text="Richtwert">
      <formula>NOT(ISERROR(SEARCH("Richtwert",D31)))</formula>
    </cfRule>
    <cfRule type="containsText" dxfId="162" priority="59" operator="containsText" text="tatsächl.">
      <formula>NOT(ISERROR(SEARCH("tatsächl.",D31)))</formula>
    </cfRule>
  </conditionalFormatting>
  <conditionalFormatting sqref="D37:H37">
    <cfRule type="containsText" dxfId="161" priority="13" operator="containsText" text="tatsächl.">
      <formula>NOT(ISERROR(SEARCH("tatsächl.",D37)))</formula>
    </cfRule>
    <cfRule type="containsText" dxfId="160" priority="14" operator="containsText" text="Richtwert">
      <formula>NOT(ISERROR(SEARCH("Richtwert",D37)))</formula>
    </cfRule>
  </conditionalFormatting>
  <conditionalFormatting sqref="D40:H40">
    <cfRule type="containsText" dxfId="159" priority="11" operator="containsText" text="tatsächl.">
      <formula>NOT(ISERROR(SEARCH("tatsächl.",D40)))</formula>
    </cfRule>
    <cfRule type="containsText" dxfId="158" priority="12" operator="containsText" text="Richtwert">
      <formula>NOT(ISERROR(SEARCH("Richtwert",D40)))</formula>
    </cfRule>
  </conditionalFormatting>
  <conditionalFormatting sqref="D46:H46">
    <cfRule type="containsText" dxfId="157" priority="9" operator="containsText" text="tatsächl.">
      <formula>NOT(ISERROR(SEARCH("tatsächl.",D46)))</formula>
    </cfRule>
    <cfRule type="containsText" dxfId="156" priority="10" operator="containsText" text="Richtwert">
      <formula>NOT(ISERROR(SEARCH("Richtwert",D46)))</formula>
    </cfRule>
  </conditionalFormatting>
  <conditionalFormatting sqref="D49:H49">
    <cfRule type="containsText" dxfId="155" priority="7" operator="containsText" text="tatsächl.">
      <formula>NOT(ISERROR(SEARCH("tatsächl.",D49)))</formula>
    </cfRule>
    <cfRule type="containsText" dxfId="154" priority="8" operator="containsText" text="Richtwert">
      <formula>NOT(ISERROR(SEARCH("Richtwert",D49)))</formula>
    </cfRule>
  </conditionalFormatting>
  <conditionalFormatting sqref="D54:H54">
    <cfRule type="containsText" dxfId="153" priority="57" operator="containsText" text="tatsächl.">
      <formula>NOT(ISERROR(SEARCH("tatsächl.",D54)))</formula>
    </cfRule>
    <cfRule type="containsText" dxfId="152" priority="58" operator="containsText" text="Richtwert">
      <formula>NOT(ISERROR(SEARCH("Richtwert",D54)))</formula>
    </cfRule>
  </conditionalFormatting>
  <conditionalFormatting sqref="D57:H57">
    <cfRule type="containsText" dxfId="151" priority="55" operator="containsText" text="tatsächl.">
      <formula>NOT(ISERROR(SEARCH("tatsächl.",D57)))</formula>
    </cfRule>
    <cfRule type="containsText" dxfId="150" priority="56" operator="containsText" text="Richtwert">
      <formula>NOT(ISERROR(SEARCH("Richtwert",D57)))</formula>
    </cfRule>
  </conditionalFormatting>
  <conditionalFormatting sqref="D62:H62">
    <cfRule type="containsText" dxfId="149" priority="54" operator="containsText" text="Richtwert">
      <formula>NOT(ISERROR(SEARCH("Richtwert",D62)))</formula>
    </cfRule>
    <cfRule type="containsText" dxfId="148" priority="53" operator="containsText" text="tatsächl.">
      <formula>NOT(ISERROR(SEARCH("tatsächl.",D62)))</formula>
    </cfRule>
  </conditionalFormatting>
  <conditionalFormatting sqref="D65:H65">
    <cfRule type="containsText" dxfId="147" priority="52" operator="containsText" text="Richtwert">
      <formula>NOT(ISERROR(SEARCH("Richtwert",D65)))</formula>
    </cfRule>
    <cfRule type="containsText" dxfId="146" priority="51" operator="containsText" text="tatsächl.">
      <formula>NOT(ISERROR(SEARCH("tatsächl.",D65)))</formula>
    </cfRule>
  </conditionalFormatting>
  <conditionalFormatting sqref="D73:H73">
    <cfRule type="containsText" dxfId="145" priority="50" operator="containsText" text="Richtwert">
      <formula>NOT(ISERROR(SEARCH("Richtwert",D73)))</formula>
    </cfRule>
    <cfRule type="containsText" dxfId="144" priority="49" operator="containsText" text="tatsächl.">
      <formula>NOT(ISERROR(SEARCH("tatsächl.",D73)))</formula>
    </cfRule>
  </conditionalFormatting>
  <conditionalFormatting sqref="D76:H76">
    <cfRule type="containsText" dxfId="143" priority="48" operator="containsText" text="Richtwert">
      <formula>NOT(ISERROR(SEARCH("Richtwert",D76)))</formula>
    </cfRule>
    <cfRule type="containsText" dxfId="142" priority="47" operator="containsText" text="tatsächl.">
      <formula>NOT(ISERROR(SEARCH("tatsächl.",D76)))</formula>
    </cfRule>
  </conditionalFormatting>
  <conditionalFormatting sqref="D84:H84">
    <cfRule type="containsText" dxfId="141" priority="46" operator="containsText" text="Richtwert">
      <formula>NOT(ISERROR(SEARCH("Richtwert",D84)))</formula>
    </cfRule>
    <cfRule type="containsText" dxfId="140" priority="45" operator="containsText" text="tatsächl.">
      <formula>NOT(ISERROR(SEARCH("tatsächl.",D84)))</formula>
    </cfRule>
  </conditionalFormatting>
  <conditionalFormatting sqref="D87:H87">
    <cfRule type="containsText" dxfId="139" priority="43" operator="containsText" text="tatsächl.">
      <formula>NOT(ISERROR(SEARCH("tatsächl.",D87)))</formula>
    </cfRule>
    <cfRule type="containsText" dxfId="138" priority="44" operator="containsText" text="Richtwert">
      <formula>NOT(ISERROR(SEARCH("Richtwert",D87)))</formula>
    </cfRule>
  </conditionalFormatting>
  <conditionalFormatting sqref="D95:H95">
    <cfRule type="containsText" dxfId="137" priority="41" operator="containsText" text="tatsächl.">
      <formula>NOT(ISERROR(SEARCH("tatsächl.",D95)))</formula>
    </cfRule>
    <cfRule type="containsText" dxfId="136" priority="42" operator="containsText" text="Richtwert">
      <formula>NOT(ISERROR(SEARCH("Richtwert",D95)))</formula>
    </cfRule>
  </conditionalFormatting>
  <conditionalFormatting sqref="D98:H98">
    <cfRule type="containsText" dxfId="135" priority="39" operator="containsText" text="tatsächl.">
      <formula>NOT(ISERROR(SEARCH("tatsächl.",D98)))</formula>
    </cfRule>
    <cfRule type="containsText" dxfId="134" priority="40" operator="containsText" text="Richtwert">
      <formula>NOT(ISERROR(SEARCH("Richtwert",D98)))</formula>
    </cfRule>
  </conditionalFormatting>
  <conditionalFormatting sqref="D105:H105">
    <cfRule type="containsText" dxfId="133" priority="242" operator="containsText" text="Richtwert">
      <formula>NOT(ISERROR(SEARCH("Richtwert",D105)))</formula>
    </cfRule>
    <cfRule type="containsText" dxfId="132" priority="241" operator="containsText" text="tatsächl.">
      <formula>NOT(ISERROR(SEARCH("tatsächl.",D105)))</formula>
    </cfRule>
  </conditionalFormatting>
  <conditionalFormatting sqref="D108:H108">
    <cfRule type="containsText" dxfId="131" priority="235" operator="containsText" text="tatsächl.">
      <formula>NOT(ISERROR(SEARCH("tatsächl.",D108)))</formula>
    </cfRule>
    <cfRule type="containsText" dxfId="130" priority="236" operator="containsText" text="Richtwert">
      <formula>NOT(ISERROR(SEARCH("Richtwert",D108)))</formula>
    </cfRule>
  </conditionalFormatting>
  <conditionalFormatting sqref="D115:H115">
    <cfRule type="containsText" dxfId="129" priority="229" operator="containsText" text="tatsächl.">
      <formula>NOT(ISERROR(SEARCH("tatsächl.",D115)))</formula>
    </cfRule>
    <cfRule type="containsText" dxfId="128" priority="230" operator="containsText" text="Richtwert">
      <formula>NOT(ISERROR(SEARCH("Richtwert",D115)))</formula>
    </cfRule>
  </conditionalFormatting>
  <conditionalFormatting sqref="D118:H118">
    <cfRule type="containsText" dxfId="127" priority="223" operator="containsText" text="tatsächl.">
      <formula>NOT(ISERROR(SEARCH("tatsächl.",D118)))</formula>
    </cfRule>
    <cfRule type="containsText" dxfId="126" priority="224" operator="containsText" text="Richtwert">
      <formula>NOT(ISERROR(SEARCH("Richtwert",D118)))</formula>
    </cfRule>
  </conditionalFormatting>
  <conditionalFormatting sqref="D125:H125">
    <cfRule type="containsText" dxfId="125" priority="30" operator="containsText" text="Richtwert">
      <formula>NOT(ISERROR(SEARCH("Richtwert",D125)))</formula>
    </cfRule>
    <cfRule type="containsText" dxfId="124" priority="29" operator="containsText" text="tatsächl.">
      <formula>NOT(ISERROR(SEARCH("tatsächl.",D125)))</formula>
    </cfRule>
  </conditionalFormatting>
  <conditionalFormatting sqref="D128:H128">
    <cfRule type="containsText" dxfId="123" priority="28" operator="containsText" text="Richtwert">
      <formula>NOT(ISERROR(SEARCH("Richtwert",D128)))</formula>
    </cfRule>
    <cfRule type="containsText" dxfId="122" priority="27" operator="containsText" text="tatsächl.">
      <formula>NOT(ISERROR(SEARCH("tatsächl.",D128)))</formula>
    </cfRule>
  </conditionalFormatting>
  <conditionalFormatting sqref="D134:H134">
    <cfRule type="containsText" dxfId="121" priority="26" operator="containsText" text="Richtwert">
      <formula>NOT(ISERROR(SEARCH("Richtwert",D134)))</formula>
    </cfRule>
    <cfRule type="containsText" dxfId="120" priority="25" operator="containsText" text="tatsächl.">
      <formula>NOT(ISERROR(SEARCH("tatsächl.",D134)))</formula>
    </cfRule>
  </conditionalFormatting>
  <conditionalFormatting sqref="D137:H137">
    <cfRule type="containsText" dxfId="119" priority="6" operator="containsText" text="Richtwert">
      <formula>NOT(ISERROR(SEARCH("Richtwert",D137)))</formula>
    </cfRule>
    <cfRule type="containsText" dxfId="118" priority="5" operator="containsText" text="tatsächl.">
      <formula>NOT(ISERROR(SEARCH("tatsächl.",D137)))</formula>
    </cfRule>
  </conditionalFormatting>
  <conditionalFormatting sqref="D138:H138">
    <cfRule type="containsText" dxfId="117" priority="195" operator="containsText" text="dauerhaft">
      <formula>NOT(ISERROR(SEARCH("dauerhaft",D138)))</formula>
    </cfRule>
    <cfRule type="containsText" dxfId="116" priority="196" operator="containsText" text="15 Jahre">
      <formula>NOT(ISERROR(SEARCH("15 Jahre",D138)))</formula>
    </cfRule>
  </conditionalFormatting>
  <conditionalFormatting sqref="D143:H143">
    <cfRule type="containsText" dxfId="115" priority="21" operator="containsText" text="tatsächl.">
      <formula>NOT(ISERROR(SEARCH("tatsächl.",D143)))</formula>
    </cfRule>
    <cfRule type="containsText" dxfId="114" priority="22" operator="containsText" text="Richtwert">
      <formula>NOT(ISERROR(SEARCH("Richtwert",D143)))</formula>
    </cfRule>
  </conditionalFormatting>
  <conditionalFormatting sqref="D146:H146">
    <cfRule type="containsText" dxfId="113" priority="20" operator="containsText" text="Richtwert">
      <formula>NOT(ISERROR(SEARCH("Richtwert",D146)))</formula>
    </cfRule>
    <cfRule type="containsText" dxfId="112" priority="19" operator="containsText" text="tatsächl.">
      <formula>NOT(ISERROR(SEARCH("tatsächl.",D146)))</formula>
    </cfRule>
  </conditionalFormatting>
  <conditionalFormatting sqref="D147:H147">
    <cfRule type="containsText" dxfId="111" priority="4" operator="containsText" text="15 Jahre">
      <formula>NOT(ISERROR(SEARCH("15 Jahre",D147)))</formula>
    </cfRule>
    <cfRule type="containsText" dxfId="110" priority="3" operator="containsText" text="dauerhaft">
      <formula>NOT(ISERROR(SEARCH("dauerhaft",D147)))</formula>
    </cfRule>
  </conditionalFormatting>
  <conditionalFormatting sqref="D152:H152">
    <cfRule type="containsText" dxfId="109" priority="18" operator="containsText" text="Richtwert">
      <formula>NOT(ISERROR(SEARCH("Richtwert",D152)))</formula>
    </cfRule>
    <cfRule type="containsText" dxfId="108" priority="17" operator="containsText" text="tatsächl.">
      <formula>NOT(ISERROR(SEARCH("tatsächl.",D152)))</formula>
    </cfRule>
  </conditionalFormatting>
  <conditionalFormatting sqref="D155:H155">
    <cfRule type="containsText" dxfId="107" priority="16" operator="containsText" text="Richtwert">
      <formula>NOT(ISERROR(SEARCH("Richtwert",D155)))</formula>
    </cfRule>
    <cfRule type="containsText" dxfId="106" priority="15" operator="containsText" text="tatsächl.">
      <formula>NOT(ISERROR(SEARCH("tatsächl.",D155)))</formula>
    </cfRule>
  </conditionalFormatting>
  <conditionalFormatting sqref="D156:H156">
    <cfRule type="containsText" dxfId="105" priority="1" operator="containsText" text="dauerhaft">
      <formula>NOT(ISERROR(SEARCH("dauerhaft",D156)))</formula>
    </cfRule>
    <cfRule type="containsText" dxfId="104" priority="2" operator="containsText" text="15 Jahre">
      <formula>NOT(ISERROR(SEARCH("15 Jahre",D156)))</formula>
    </cfRule>
  </conditionalFormatting>
  <dataValidations count="12">
    <dataValidation type="list" allowBlank="1" showInputMessage="1" showErrorMessage="1" sqref="D118:H119 D148:H148 D146:H146 D143:H143 D134:H134 D125:H125 D62:H62 D28:H28 D98:H98 D57:H58 D139:H139 D108:H109 D87:H87 D76:H76 D105:H105 D152:H152 D22:H22 D13:H13 D19:H19 D65:H65 D128:H130 D31:H31 D40:H40 D49:H49 D37:H37 D46:H46 D54:H54 D73:H73 D84:H84 D95:H95 D155:H155 D10:H10 D137:H137 D115:H115" xr:uid="{00000000-0002-0000-0300-000000000000}">
      <formula1>$B$200:$B$201</formula1>
    </dataValidation>
    <dataValidation type="list" allowBlank="1" showInputMessage="1" showErrorMessage="1" sqref="D102:H102 D112:H112 D122:H122" xr:uid="{00000000-0002-0000-0300-000001000000}">
      <formula1>$B$197:$B$198</formula1>
    </dataValidation>
    <dataValidation type="list" allowBlank="1" showInputMessage="1" showErrorMessage="1" sqref="D79:H79 D68:H68 D90:H90" xr:uid="{00000000-0002-0000-0300-000002000000}">
      <formula1>$B$189:$D$189</formula1>
    </dataValidation>
    <dataValidation type="list" allowBlank="1" showInputMessage="1" showErrorMessage="1" sqref="D93:H93 D71:H71 D82:H82" xr:uid="{00000000-0002-0000-0300-000003000000}">
      <formula1>$B$194:$B$195</formula1>
    </dataValidation>
    <dataValidation type="list" allowBlank="1" showInputMessage="1" showErrorMessage="1" sqref="F92:H92" xr:uid="{00000000-0002-0000-0300-000004000000}">
      <formula1>OFFSET($A$189,1,MATCH($F$90,$B$189:$D$189,0),3)</formula1>
    </dataValidation>
    <dataValidation type="list" allowBlank="1" showInputMessage="1" showErrorMessage="1" sqref="E92" xr:uid="{00000000-0002-0000-0300-000005000000}">
      <formula1>OFFSET($A$189,1,MATCH($E$90,$B$189:$D$189,0),3)</formula1>
    </dataValidation>
    <dataValidation type="list" allowBlank="1" showInputMessage="1" showErrorMessage="1" sqref="D70" xr:uid="{00000000-0002-0000-0300-000006000000}">
      <formula1>OFFSET($A$189,1,MATCH($D$68,$B$189:$D$189,0),3)</formula1>
    </dataValidation>
    <dataValidation type="list" allowBlank="1" showInputMessage="1" showErrorMessage="1" sqref="E70" xr:uid="{00000000-0002-0000-0300-000007000000}">
      <formula1>OFFSET($A$189,1,MATCH($E$68,$B$189:$D$189,0),3)</formula1>
    </dataValidation>
    <dataValidation type="list" allowBlank="1" showInputMessage="1" showErrorMessage="1" sqref="F70:H70" xr:uid="{00000000-0002-0000-0300-000008000000}">
      <formula1>OFFSET($A$189,1,MATCH($F$68,$B$189:$D$189,0),3)</formula1>
    </dataValidation>
    <dataValidation type="list" allowBlank="1" showInputMessage="1" showErrorMessage="1" sqref="D81:H81" xr:uid="{00000000-0002-0000-0300-000009000000}">
      <formula1>OFFSET($A$189,1,MATCH($D$79,$B$189:$D$189,0),3)</formula1>
    </dataValidation>
    <dataValidation type="list" allowBlank="1" showInputMessage="1" showErrorMessage="1" sqref="D92" xr:uid="{00000000-0002-0000-0300-00000C000000}">
      <formula1>OFFSET($A$189,1,MATCH($D$90,$B$189:$D$189,0),3)</formula1>
    </dataValidation>
    <dataValidation type="list" allowBlank="1" showInputMessage="1" showErrorMessage="1" sqref="D138:H138 D147:H147 D156:H156" xr:uid="{00000000-0002-0000-0300-00000D000000}">
      <formula1>$B$203:$B$204</formula1>
    </dataValidation>
  </dataValidations>
  <pageMargins left="0.78740157480314965" right="0.59055118110236227" top="0.98425196850393704" bottom="0.98425196850393704" header="0.51181102362204722" footer="0.51181102362204722"/>
  <pageSetup paperSize="9" scale="30" orientation="portrait" r:id="rId1"/>
  <headerFooter alignWithMargins="0">
    <oddHeader>&amp;R&amp;"Arial,Fett"&amp;8Jedele und Partner GmbH</oddHeader>
    <oddFooter>&amp;L&amp;6&amp;F   &amp;A   &amp;D</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tabColor indexed="22"/>
    <pageSetUpPr autoPageBreaks="0" fitToPage="1"/>
  </sheetPr>
  <dimension ref="A1:P29"/>
  <sheetViews>
    <sheetView showGridLines="0" zoomScaleNormal="100" workbookViewId="0">
      <pane xSplit="2" ySplit="5" topLeftCell="C6" activePane="bottomRight" state="frozen"/>
      <selection activeCell="C7" sqref="C7"/>
      <selection pane="topRight" activeCell="C7" sqref="C7"/>
      <selection pane="bottomLeft" activeCell="C7" sqref="C7"/>
      <selection pane="bottomRight" activeCell="B1" sqref="B1"/>
    </sheetView>
  </sheetViews>
  <sheetFormatPr baseColWidth="10" defaultColWidth="11" defaultRowHeight="14.25" x14ac:dyDescent="0.2"/>
  <cols>
    <col min="1" max="1" width="3.375" style="36" customWidth="1"/>
    <col min="2" max="2" width="23.5" style="33" customWidth="1"/>
    <col min="3" max="3" width="11.875" style="33" bestFit="1" customWidth="1"/>
    <col min="4" max="8" width="16.625" style="33" customWidth="1"/>
    <col min="9" max="9" width="1.625" style="33" customWidth="1"/>
    <col min="10" max="10" width="19.25" style="33" customWidth="1"/>
    <col min="11" max="15" width="16.625" style="33" customWidth="1"/>
    <col min="16" max="16" width="27.75" style="33" bestFit="1" customWidth="1"/>
    <col min="17" max="16384" width="11" style="33"/>
  </cols>
  <sheetData>
    <row r="1" spans="1:15" ht="15.75" x14ac:dyDescent="0.2">
      <c r="A1" s="31"/>
      <c r="B1" s="32" t="s">
        <v>142</v>
      </c>
      <c r="L1" s="34"/>
      <c r="M1" s="35"/>
      <c r="N1" s="35"/>
      <c r="O1" s="35"/>
    </row>
    <row r="2" spans="1:15" ht="15" x14ac:dyDescent="0.2">
      <c r="A2" s="31"/>
      <c r="M2" s="35"/>
      <c r="N2" s="35"/>
      <c r="O2" s="35"/>
    </row>
    <row r="3" spans="1:15" ht="15.75" thickBot="1" x14ac:dyDescent="0.25">
      <c r="E3" s="39"/>
      <c r="M3" s="35"/>
      <c r="N3" s="35"/>
      <c r="O3" s="35"/>
    </row>
    <row r="4" spans="1:15" ht="22.5" customHeight="1" thickTop="1" thickBot="1" x14ac:dyDescent="0.25">
      <c r="A4" s="31"/>
      <c r="C4" s="45"/>
      <c r="D4" s="290" t="str">
        <f>Eingabe_1!D2</f>
        <v>Variante 1</v>
      </c>
      <c r="E4" s="291" t="str">
        <f>Eingabe_1!E2</f>
        <v>Variante 2</v>
      </c>
      <c r="F4" s="292" t="str">
        <f>Eingabe_1!F2</f>
        <v>Variante 3</v>
      </c>
      <c r="G4" s="472" t="str">
        <f>Eingabe_1!G2</f>
        <v>Variante 4</v>
      </c>
      <c r="H4" s="473" t="str">
        <f>Eingabe_1!H2</f>
        <v>Variante 5</v>
      </c>
      <c r="K4" s="290" t="str">
        <f t="shared" ref="K4:M5" si="0">D4</f>
        <v>Variante 1</v>
      </c>
      <c r="L4" s="291" t="str">
        <f t="shared" si="0"/>
        <v>Variante 2</v>
      </c>
      <c r="M4" s="292" t="str">
        <f t="shared" si="0"/>
        <v>Variante 3</v>
      </c>
      <c r="N4" s="472" t="str">
        <f>G4</f>
        <v>Variante 4</v>
      </c>
      <c r="O4" s="473" t="str">
        <f>H4</f>
        <v>Variante 5</v>
      </c>
    </row>
    <row r="5" spans="1:15" ht="21" customHeight="1" thickTop="1" thickBot="1" x14ac:dyDescent="0.25">
      <c r="A5" s="31"/>
      <c r="C5" s="45"/>
      <c r="D5" s="290" t="str">
        <f>Eingabe_1!D3</f>
        <v xml:space="preserve">Orts-KA </v>
      </c>
      <c r="E5" s="291" t="str">
        <f>Eingabe_1!E3</f>
        <v xml:space="preserve">Überleitung </v>
      </c>
      <c r="F5" s="292" t="str">
        <f>Eingabe_1!F3</f>
        <v xml:space="preserve">Grundstk-KA </v>
      </c>
      <c r="G5" s="472" t="str">
        <f>Eingabe_1!G3</f>
        <v>Text 4</v>
      </c>
      <c r="H5" s="473" t="str">
        <f>Eingabe_1!H3</f>
        <v>Text 5</v>
      </c>
      <c r="I5" s="37"/>
      <c r="J5" s="37"/>
      <c r="K5" s="290" t="str">
        <f t="shared" si="0"/>
        <v xml:space="preserve">Orts-KA </v>
      </c>
      <c r="L5" s="291" t="str">
        <f t="shared" si="0"/>
        <v xml:space="preserve">Überleitung </v>
      </c>
      <c r="M5" s="292" t="str">
        <f t="shared" si="0"/>
        <v xml:space="preserve">Grundstk-KA </v>
      </c>
      <c r="N5" s="472" t="str">
        <f>G5</f>
        <v>Text 4</v>
      </c>
      <c r="O5" s="473" t="str">
        <f>H5</f>
        <v>Text 5</v>
      </c>
    </row>
    <row r="6" spans="1:15" ht="21" customHeight="1" thickTop="1" x14ac:dyDescent="0.2">
      <c r="A6" s="31" t="s">
        <v>0</v>
      </c>
      <c r="B6" s="34" t="s">
        <v>5</v>
      </c>
      <c r="D6" s="285"/>
      <c r="E6" s="285"/>
      <c r="F6" s="318"/>
      <c r="G6" s="318"/>
      <c r="H6" s="318"/>
      <c r="I6" s="37"/>
      <c r="J6" s="37"/>
      <c r="K6" s="285"/>
      <c r="L6" s="285"/>
      <c r="M6" s="318"/>
      <c r="N6" s="318"/>
      <c r="O6" s="318"/>
    </row>
    <row r="7" spans="1:15" ht="21" customHeight="1" x14ac:dyDescent="0.2">
      <c r="A7" s="31"/>
      <c r="B7" s="33" t="s">
        <v>76</v>
      </c>
      <c r="C7" s="319" t="s">
        <v>80</v>
      </c>
      <c r="D7" s="33" t="s">
        <v>6</v>
      </c>
      <c r="E7" s="285"/>
      <c r="F7" s="318"/>
      <c r="G7" s="318"/>
      <c r="H7" s="318"/>
      <c r="I7" s="37"/>
      <c r="J7" s="37"/>
      <c r="K7" s="33" t="s">
        <v>55</v>
      </c>
      <c r="L7" s="285"/>
      <c r="M7" s="318"/>
      <c r="N7" s="318"/>
      <c r="O7" s="318"/>
    </row>
    <row r="8" spans="1:15" ht="15" x14ac:dyDescent="0.2">
      <c r="A8" s="31"/>
      <c r="B8" s="320" t="str">
        <f>Eingabe_1!B5</f>
        <v>Reinigungsleistung</v>
      </c>
      <c r="C8" s="104">
        <f>Eingabe_1!C5</f>
        <v>40</v>
      </c>
      <c r="D8" s="105">
        <f>Eingabe_1!D5</f>
        <v>5</v>
      </c>
      <c r="E8" s="105">
        <f>Eingabe_1!E5</f>
        <v>6</v>
      </c>
      <c r="F8" s="105">
        <f>Eingabe_1!F5</f>
        <v>3</v>
      </c>
      <c r="G8" s="105">
        <f>Eingabe_1!G5</f>
        <v>6</v>
      </c>
      <c r="H8" s="105">
        <f>Eingabe_1!H5</f>
        <v>3</v>
      </c>
      <c r="I8" s="36"/>
      <c r="J8" s="36"/>
      <c r="K8" s="62">
        <f>D8*$C8</f>
        <v>200</v>
      </c>
      <c r="L8" s="62">
        <f t="shared" ref="K8:M13" si="1">E8*$C8</f>
        <v>240</v>
      </c>
      <c r="M8" s="62">
        <f t="shared" si="1"/>
        <v>120</v>
      </c>
      <c r="N8" s="62">
        <f t="shared" ref="N8:N13" si="2">G8*$C8</f>
        <v>240</v>
      </c>
      <c r="O8" s="62">
        <f t="shared" ref="O8:O13" si="3">H8*$C8</f>
        <v>120</v>
      </c>
    </row>
    <row r="9" spans="1:15" ht="15" x14ac:dyDescent="0.2">
      <c r="A9" s="31"/>
      <c r="B9" s="320" t="str">
        <f>Eingabe_1!B6</f>
        <v>Sicherheit / Stabilität</v>
      </c>
      <c r="C9" s="104">
        <f>Eingabe_1!C6</f>
        <v>20</v>
      </c>
      <c r="D9" s="105">
        <f>Eingabe_1!D6</f>
        <v>5</v>
      </c>
      <c r="E9" s="105">
        <f>Eingabe_1!E6</f>
        <v>6</v>
      </c>
      <c r="F9" s="105">
        <f>Eingabe_1!F6</f>
        <v>3</v>
      </c>
      <c r="G9" s="105">
        <f>Eingabe_1!G6</f>
        <v>3</v>
      </c>
      <c r="H9" s="105">
        <f>Eingabe_1!H6</f>
        <v>4</v>
      </c>
      <c r="I9" s="36"/>
      <c r="J9" s="36"/>
      <c r="K9" s="62">
        <f t="shared" si="1"/>
        <v>100</v>
      </c>
      <c r="L9" s="62">
        <f t="shared" si="1"/>
        <v>120</v>
      </c>
      <c r="M9" s="62">
        <f t="shared" si="1"/>
        <v>60</v>
      </c>
      <c r="N9" s="62">
        <f t="shared" si="2"/>
        <v>60</v>
      </c>
      <c r="O9" s="62">
        <f t="shared" si="3"/>
        <v>80</v>
      </c>
    </row>
    <row r="10" spans="1:15" ht="15" x14ac:dyDescent="0.2">
      <c r="A10" s="31"/>
      <c r="B10" s="320" t="str">
        <f>Eingabe_1!B7</f>
        <v>Wasserführung / Hydrologie</v>
      </c>
      <c r="C10" s="104">
        <f>Eingabe_1!C7</f>
        <v>10</v>
      </c>
      <c r="D10" s="105">
        <f>Eingabe_1!D7</f>
        <v>4</v>
      </c>
      <c r="E10" s="105">
        <f>Eingabe_1!E7</f>
        <v>3</v>
      </c>
      <c r="F10" s="105">
        <f>Eingabe_1!F7</f>
        <v>6</v>
      </c>
      <c r="G10" s="105">
        <f>Eingabe_1!G7</f>
        <v>2</v>
      </c>
      <c r="H10" s="105">
        <f>Eingabe_1!H7</f>
        <v>3</v>
      </c>
      <c r="I10" s="36"/>
      <c r="J10" s="36"/>
      <c r="K10" s="62">
        <f t="shared" si="1"/>
        <v>40</v>
      </c>
      <c r="L10" s="62">
        <f t="shared" si="1"/>
        <v>30</v>
      </c>
      <c r="M10" s="62">
        <f t="shared" si="1"/>
        <v>60</v>
      </c>
      <c r="N10" s="62">
        <f t="shared" si="2"/>
        <v>20</v>
      </c>
      <c r="O10" s="62">
        <f t="shared" si="3"/>
        <v>30</v>
      </c>
    </row>
    <row r="11" spans="1:15" ht="15" x14ac:dyDescent="0.2">
      <c r="A11" s="31"/>
      <c r="B11" s="320" t="str">
        <f>Eingabe_1!B8</f>
        <v>Landschaftliche Einbindung</v>
      </c>
      <c r="C11" s="104">
        <f>Eingabe_1!C8</f>
        <v>10</v>
      </c>
      <c r="D11" s="105">
        <f>Eingabe_1!D8</f>
        <v>4</v>
      </c>
      <c r="E11" s="105">
        <f>Eingabe_1!E8</f>
        <v>6</v>
      </c>
      <c r="F11" s="105">
        <f>Eingabe_1!F8</f>
        <v>6</v>
      </c>
      <c r="G11" s="105">
        <f>Eingabe_1!G8</f>
        <v>3</v>
      </c>
      <c r="H11" s="105">
        <f>Eingabe_1!H8</f>
        <v>4</v>
      </c>
      <c r="I11" s="36"/>
      <c r="J11" s="36"/>
      <c r="K11" s="62">
        <f t="shared" si="1"/>
        <v>40</v>
      </c>
      <c r="L11" s="62">
        <f t="shared" si="1"/>
        <v>60</v>
      </c>
      <c r="M11" s="62">
        <f t="shared" si="1"/>
        <v>60</v>
      </c>
      <c r="N11" s="62">
        <f t="shared" si="2"/>
        <v>30</v>
      </c>
      <c r="O11" s="62">
        <f t="shared" si="3"/>
        <v>40</v>
      </c>
    </row>
    <row r="12" spans="1:15" ht="15" x14ac:dyDescent="0.2">
      <c r="A12" s="31"/>
      <c r="B12" s="320" t="str">
        <f>Eingabe_1!B9</f>
        <v>Demografische Entwicklung</v>
      </c>
      <c r="C12" s="104">
        <f>Eingabe_1!C9</f>
        <v>10</v>
      </c>
      <c r="D12" s="105">
        <f>Eingabe_1!D9</f>
        <v>5</v>
      </c>
      <c r="E12" s="105">
        <f>Eingabe_1!E9</f>
        <v>3</v>
      </c>
      <c r="F12" s="105">
        <f>Eingabe_1!F9</f>
        <v>6</v>
      </c>
      <c r="G12" s="105">
        <f>Eingabe_1!G9</f>
        <v>2</v>
      </c>
      <c r="H12" s="105">
        <f>Eingabe_1!H9</f>
        <v>3</v>
      </c>
      <c r="I12" s="36"/>
      <c r="J12" s="36"/>
      <c r="K12" s="62">
        <f t="shared" si="1"/>
        <v>50</v>
      </c>
      <c r="L12" s="62">
        <f t="shared" si="1"/>
        <v>30</v>
      </c>
      <c r="M12" s="62">
        <f t="shared" si="1"/>
        <v>60</v>
      </c>
      <c r="N12" s="62">
        <f t="shared" si="2"/>
        <v>20</v>
      </c>
      <c r="O12" s="62">
        <f t="shared" si="3"/>
        <v>30</v>
      </c>
    </row>
    <row r="13" spans="1:15" ht="15" x14ac:dyDescent="0.2">
      <c r="A13" s="31"/>
      <c r="B13" s="320" t="str">
        <f>Eingabe_1!B10</f>
        <v>Kontrolle / Steuerung</v>
      </c>
      <c r="C13" s="104">
        <f>Eingabe_1!C10</f>
        <v>10</v>
      </c>
      <c r="D13" s="105">
        <f>Eingabe_1!D10</f>
        <v>5</v>
      </c>
      <c r="E13" s="105">
        <f>Eingabe_1!E10</f>
        <v>6</v>
      </c>
      <c r="F13" s="105">
        <f>Eingabe_1!F10</f>
        <v>4</v>
      </c>
      <c r="G13" s="105">
        <f>Eingabe_1!G10</f>
        <v>6</v>
      </c>
      <c r="H13" s="105">
        <f>Eingabe_1!H10</f>
        <v>4</v>
      </c>
      <c r="I13" s="36"/>
      <c r="J13" s="36"/>
      <c r="K13" s="62">
        <f t="shared" si="1"/>
        <v>50</v>
      </c>
      <c r="L13" s="62">
        <f t="shared" si="1"/>
        <v>60</v>
      </c>
      <c r="M13" s="62">
        <f t="shared" si="1"/>
        <v>40</v>
      </c>
      <c r="N13" s="62">
        <f t="shared" si="2"/>
        <v>60</v>
      </c>
      <c r="O13" s="62">
        <f t="shared" si="3"/>
        <v>40</v>
      </c>
    </row>
    <row r="14" spans="1:15" ht="15" x14ac:dyDescent="0.2">
      <c r="A14" s="31"/>
      <c r="C14" s="31"/>
      <c r="M14" s="35"/>
      <c r="N14" s="35"/>
      <c r="O14" s="35"/>
    </row>
    <row r="15" spans="1:15" ht="15" x14ac:dyDescent="0.2">
      <c r="A15" s="31"/>
      <c r="C15" s="31"/>
      <c r="M15" s="35"/>
      <c r="N15" s="35"/>
      <c r="O15" s="35"/>
    </row>
    <row r="16" spans="1:15" ht="24.95" customHeight="1" x14ac:dyDescent="0.2">
      <c r="A16" s="31"/>
      <c r="B16" s="42" t="s">
        <v>47</v>
      </c>
      <c r="C16" s="46">
        <f>IF(SUM(C8:C13)=100,100,"Summe ≠ 100 !")</f>
        <v>100</v>
      </c>
      <c r="D16" s="47">
        <f>SUM(D8:D13)</f>
        <v>28</v>
      </c>
      <c r="E16" s="48">
        <f>SUM(E8:E13)</f>
        <v>30</v>
      </c>
      <c r="F16" s="49">
        <f>SUM(F8:F13)</f>
        <v>28</v>
      </c>
      <c r="G16" s="49">
        <f t="shared" ref="G16:H16" si="4">SUM(G8:G13)</f>
        <v>22</v>
      </c>
      <c r="H16" s="49">
        <f t="shared" si="4"/>
        <v>21</v>
      </c>
      <c r="I16" s="43"/>
      <c r="J16" s="44" t="s">
        <v>81</v>
      </c>
      <c r="K16" s="59">
        <f>SUM(K8:K13)</f>
        <v>480</v>
      </c>
      <c r="L16" s="60">
        <f>SUM(L8:L13)</f>
        <v>540</v>
      </c>
      <c r="M16" s="60">
        <f>SUM(M8:M13)</f>
        <v>400</v>
      </c>
      <c r="N16" s="60">
        <f t="shared" ref="N16:O16" si="5">SUM(N8:N13)</f>
        <v>430</v>
      </c>
      <c r="O16" s="61">
        <f t="shared" si="5"/>
        <v>340</v>
      </c>
    </row>
    <row r="17" spans="1:16" ht="24.95" customHeight="1" x14ac:dyDescent="0.2">
      <c r="A17" s="31"/>
      <c r="K17" s="35" t="s">
        <v>53</v>
      </c>
      <c r="M17" s="38"/>
      <c r="N17" s="38"/>
      <c r="O17" s="38"/>
      <c r="P17" s="50"/>
    </row>
    <row r="18" spans="1:16" ht="24.95" customHeight="1" x14ac:dyDescent="0.2">
      <c r="A18" s="31"/>
      <c r="K18" s="38"/>
      <c r="M18" s="38"/>
      <c r="N18" s="38"/>
      <c r="O18" s="38"/>
      <c r="P18" s="50"/>
    </row>
    <row r="19" spans="1:16" ht="24.95" customHeight="1" x14ac:dyDescent="0.2">
      <c r="A19" s="31"/>
      <c r="K19" s="33" t="s">
        <v>2</v>
      </c>
      <c r="L19" s="36"/>
      <c r="M19" s="35" t="s">
        <v>3</v>
      </c>
      <c r="N19" s="35"/>
      <c r="O19" s="35"/>
      <c r="P19" s="50"/>
    </row>
    <row r="20" spans="1:16" ht="24.95" customHeight="1" x14ac:dyDescent="0.2">
      <c r="A20" s="31" t="s">
        <v>4</v>
      </c>
      <c r="B20" s="40" t="s">
        <v>283</v>
      </c>
      <c r="C20" s="41"/>
      <c r="D20" s="41"/>
      <c r="E20" s="41"/>
      <c r="F20" s="41"/>
      <c r="G20" s="522"/>
      <c r="H20" s="522"/>
      <c r="I20" s="41"/>
      <c r="J20" s="100" t="s">
        <v>91</v>
      </c>
      <c r="K20" s="53">
        <f>'Kosten Variante1'!W72</f>
        <v>0</v>
      </c>
      <c r="L20" s="54">
        <f>'Kosten Variante2'!W72</f>
        <v>0</v>
      </c>
      <c r="M20" s="54">
        <f>'Kosten Variante3'!W72</f>
        <v>0</v>
      </c>
      <c r="N20" s="54">
        <f>'Kosten Variante4'!W72</f>
        <v>0</v>
      </c>
      <c r="O20" s="55">
        <f>'Kosten Variante5'!W72</f>
        <v>0</v>
      </c>
    </row>
    <row r="21" spans="1:16" ht="24.95" customHeight="1" x14ac:dyDescent="0.2">
      <c r="A21" s="31"/>
      <c r="B21" s="40" t="s">
        <v>284</v>
      </c>
      <c r="C21" s="41"/>
      <c r="D21" s="41"/>
      <c r="E21" s="41"/>
      <c r="F21" s="41"/>
      <c r="G21" s="522"/>
      <c r="H21" s="522"/>
      <c r="I21" s="41"/>
      <c r="J21" s="100" t="s">
        <v>92</v>
      </c>
      <c r="K21" s="53">
        <f>'Kosten Variante1'!W73</f>
        <v>0</v>
      </c>
      <c r="L21" s="54">
        <f>'Kosten Variante2'!W73</f>
        <v>0</v>
      </c>
      <c r="M21" s="54">
        <f>'Kosten Variante3'!W73</f>
        <v>0</v>
      </c>
      <c r="N21" s="54">
        <f>'Kosten Variante4'!W73</f>
        <v>0</v>
      </c>
      <c r="O21" s="55">
        <f>'Kosten Variante5'!W73</f>
        <v>0</v>
      </c>
      <c r="P21" s="51"/>
    </row>
    <row r="22" spans="1:16" ht="24.95" customHeight="1" x14ac:dyDescent="0.2">
      <c r="A22" s="31"/>
      <c r="F22" s="36"/>
      <c r="G22" s="36"/>
      <c r="H22" s="36"/>
      <c r="I22" s="36"/>
      <c r="J22" s="36"/>
      <c r="P22" s="50"/>
    </row>
    <row r="23" spans="1:16" ht="24.95" customHeight="1" x14ac:dyDescent="0.2">
      <c r="A23" s="31"/>
      <c r="K23" s="111" t="s">
        <v>139</v>
      </c>
      <c r="M23" s="35"/>
      <c r="N23" s="35"/>
      <c r="O23" s="35"/>
      <c r="P23" s="50"/>
    </row>
    <row r="24" spans="1:16" ht="24.95" customHeight="1" x14ac:dyDescent="0.2">
      <c r="A24" s="31"/>
      <c r="M24" s="35"/>
      <c r="N24" s="35"/>
      <c r="O24" s="35"/>
      <c r="P24" s="50"/>
    </row>
    <row r="25" spans="1:16" ht="24.95" customHeight="1" x14ac:dyDescent="0.2">
      <c r="A25" s="31" t="s">
        <v>9</v>
      </c>
      <c r="B25" s="40" t="s">
        <v>140</v>
      </c>
      <c r="C25" s="41"/>
      <c r="D25" s="41"/>
      <c r="E25" s="41"/>
      <c r="F25" s="41"/>
      <c r="G25" s="522"/>
      <c r="H25" s="522"/>
      <c r="I25" s="41"/>
      <c r="J25" s="44" t="s">
        <v>93</v>
      </c>
      <c r="K25" s="56" t="e">
        <f>K16/(K20/1000)</f>
        <v>#DIV/0!</v>
      </c>
      <c r="L25" s="57" t="e">
        <f>L16/(L20/1000)</f>
        <v>#DIV/0!</v>
      </c>
      <c r="M25" s="57" t="e">
        <f>M16/(M20/1000)</f>
        <v>#DIV/0!</v>
      </c>
      <c r="N25" s="57" t="e">
        <f t="shared" ref="N25:O25" si="6">N16/(N20/1000)</f>
        <v>#DIV/0!</v>
      </c>
      <c r="O25" s="58" t="e">
        <f t="shared" si="6"/>
        <v>#DIV/0!</v>
      </c>
    </row>
    <row r="26" spans="1:16" ht="24.95" customHeight="1" x14ac:dyDescent="0.2">
      <c r="A26" s="31"/>
      <c r="B26" s="40" t="s">
        <v>141</v>
      </c>
      <c r="C26" s="41"/>
      <c r="D26" s="41"/>
      <c r="E26" s="41"/>
      <c r="F26" s="41"/>
      <c r="G26" s="522"/>
      <c r="H26" s="522"/>
      <c r="I26" s="41"/>
      <c r="J26" s="44" t="s">
        <v>94</v>
      </c>
      <c r="K26" s="56" t="e">
        <f>K16/(K21/1000)</f>
        <v>#DIV/0!</v>
      </c>
      <c r="L26" s="57" t="e">
        <f>L16/(L21/1000)</f>
        <v>#DIV/0!</v>
      </c>
      <c r="M26" s="57" t="e">
        <f>M16/(M21/1000)</f>
        <v>#DIV/0!</v>
      </c>
      <c r="N26" s="57" t="e">
        <f t="shared" ref="N26:O26" si="7">N16/(N21/1000)</f>
        <v>#DIV/0!</v>
      </c>
      <c r="O26" s="58" t="e">
        <f t="shared" si="7"/>
        <v>#DIV/0!</v>
      </c>
      <c r="P26" s="52"/>
    </row>
    <row r="27" spans="1:16" ht="15" x14ac:dyDescent="0.2">
      <c r="A27" s="31"/>
      <c r="F27" s="36"/>
      <c r="G27" s="36"/>
      <c r="H27" s="36"/>
      <c r="I27" s="36"/>
      <c r="J27" s="36"/>
      <c r="K27" s="50"/>
      <c r="M27" s="37"/>
      <c r="N27" s="37"/>
      <c r="O27" s="37"/>
    </row>
    <row r="28" spans="1:16" ht="15" x14ac:dyDescent="0.2">
      <c r="A28" s="31"/>
      <c r="F28" s="36"/>
      <c r="G28" s="36"/>
      <c r="H28" s="36"/>
      <c r="I28" s="36"/>
      <c r="J28" s="36"/>
      <c r="K28" s="33" t="s">
        <v>2</v>
      </c>
      <c r="L28" s="36"/>
      <c r="M28" s="35" t="s">
        <v>2</v>
      </c>
      <c r="N28" s="35"/>
      <c r="O28" s="35"/>
    </row>
    <row r="29" spans="1:16" ht="15" x14ac:dyDescent="0.2">
      <c r="A29" s="31"/>
      <c r="F29" s="36"/>
      <c r="G29" s="36"/>
      <c r="H29" s="36"/>
      <c r="I29" s="36"/>
      <c r="J29" s="36"/>
      <c r="K29" s="33" t="s">
        <v>138</v>
      </c>
    </row>
  </sheetData>
  <sheetProtection algorithmName="SHA-512" hashValue="svqhWmuBIz35GMkZbc7yRbWhmAZYU8SuHP/nh++DRcwcThx/QwE5eVvql95dWMKCRMMTHqwivE54+LVByGVyGA==" saltValue="xMfMggucL5gqXW3oURW39Q==" spinCount="100000" sheet="1" objects="1" scenarios="1"/>
  <phoneticPr fontId="11" type="noConversion"/>
  <conditionalFormatting sqref="C16">
    <cfRule type="cellIs" dxfId="103" priority="1" stopIfTrue="1" operator="notEqual">
      <formula>100</formula>
    </cfRule>
  </conditionalFormatting>
  <pageMargins left="0.6692913385826772" right="0.47244094488188981" top="0.98425196850393704" bottom="0.98425196850393704" header="0.51181102362204722" footer="0.51181102362204722"/>
  <pageSetup paperSize="9" scale="54" orientation="landscape" r:id="rId1"/>
  <headerFooter alignWithMargins="0">
    <oddHeader>&amp;R&amp;"Arial,Fett"&amp;8Jedele und Partner GmbH</oddHeader>
    <oddFooter>&amp;L&amp;6&amp;F   &amp;A   &amp;D</oddFooter>
  </headerFooter>
  <colBreaks count="1" manualBreakCount="1">
    <brk id="16" max="23"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8">
    <tabColor indexed="42"/>
    <pageSetUpPr fitToPage="1"/>
  </sheetPr>
  <dimension ref="A1:AF132"/>
  <sheetViews>
    <sheetView showGridLines="0" zoomScaleNormal="100" workbookViewId="0">
      <pane xSplit="3" ySplit="5" topLeftCell="D6" activePane="bottomRight" state="frozen"/>
      <selection pane="topRight" activeCell="D1" sqref="D1"/>
      <selection pane="bottomLeft" activeCell="A6" sqref="A6"/>
      <selection pane="bottomRight" activeCell="C1" sqref="C1"/>
    </sheetView>
  </sheetViews>
  <sheetFormatPr baseColWidth="10" defaultColWidth="10.625" defaultRowHeight="12.75" x14ac:dyDescent="0.2"/>
  <cols>
    <col min="1" max="1" width="2.5" style="466" customWidth="1"/>
    <col min="2" max="2" width="2.5" style="125" customWidth="1"/>
    <col min="3" max="3" width="28.625" style="126" customWidth="1"/>
    <col min="4" max="4" width="6.75" style="74" customWidth="1"/>
    <col min="5" max="5" width="5.75" style="74" customWidth="1"/>
    <col min="6" max="6" width="7.75" style="74" customWidth="1"/>
    <col min="7" max="7" width="10.75" style="126" customWidth="1"/>
    <col min="8" max="8" width="8.75" style="74" customWidth="1"/>
    <col min="9" max="9" width="7.75" style="74" customWidth="1"/>
    <col min="10" max="10" width="10.75" style="126" customWidth="1"/>
    <col min="11" max="11" width="12.75" style="74" customWidth="1"/>
    <col min="12" max="12" width="12.75" style="128" customWidth="1"/>
    <col min="13" max="13" width="12.75" style="74" customWidth="1"/>
    <col min="14" max="14" width="6.875" style="74" bestFit="1" customWidth="1"/>
    <col min="15" max="15" width="2.25" style="74" customWidth="1"/>
    <col min="16" max="17" width="12.75" style="74" customWidth="1"/>
    <col min="18" max="20" width="11.625" style="74" customWidth="1"/>
    <col min="21" max="21" width="10.75" style="74" customWidth="1"/>
    <col min="22" max="22" width="9.25" style="536" customWidth="1"/>
    <col min="23" max="23" width="14.75" style="74" customWidth="1"/>
    <col min="24" max="25" width="10.625" style="74" customWidth="1"/>
    <col min="26" max="26" width="14.375" style="74" bestFit="1" customWidth="1"/>
    <col min="27" max="31" width="10.625" style="74"/>
    <col min="32" max="32" width="21.625" style="74" bestFit="1" customWidth="1"/>
    <col min="33" max="16384" width="10.625" style="74"/>
  </cols>
  <sheetData>
    <row r="1" spans="1:32" s="114" customFormat="1" ht="15.75" x14ac:dyDescent="0.25">
      <c r="A1" s="465"/>
      <c r="C1" s="115" t="s">
        <v>88</v>
      </c>
      <c r="F1" s="124" t="str">
        <f>Eingabe_1!D2</f>
        <v>Variante 1</v>
      </c>
      <c r="G1" s="116" t="str">
        <f>Eingabe_1!D3</f>
        <v xml:space="preserve">Orts-KA </v>
      </c>
      <c r="H1" s="117"/>
      <c r="K1" s="118"/>
      <c r="L1" s="119"/>
      <c r="M1" s="118"/>
      <c r="N1" s="118"/>
      <c r="O1" s="118"/>
      <c r="R1" s="120"/>
      <c r="V1" s="534"/>
    </row>
    <row r="2" spans="1:32" s="114" customFormat="1" ht="15.75" x14ac:dyDescent="0.25">
      <c r="A2" s="465"/>
      <c r="C2" s="121"/>
      <c r="K2" s="121"/>
      <c r="L2" s="122"/>
      <c r="M2" s="123"/>
      <c r="N2" s="123"/>
      <c r="O2" s="121"/>
      <c r="S2" s="124"/>
      <c r="T2" s="124"/>
      <c r="U2" s="124"/>
      <c r="V2" s="535"/>
    </row>
    <row r="3" spans="1:32" x14ac:dyDescent="0.2">
      <c r="J3" s="127"/>
    </row>
    <row r="4" spans="1:32" s="141" customFormat="1" ht="17.25" customHeight="1" thickBot="1" x14ac:dyDescent="0.25">
      <c r="A4" s="468"/>
      <c r="B4" s="129"/>
      <c r="C4" s="130" t="s">
        <v>13</v>
      </c>
      <c r="D4" s="131"/>
      <c r="E4" s="131"/>
      <c r="F4" s="131"/>
      <c r="G4" s="132"/>
      <c r="H4" s="131"/>
      <c r="I4" s="131"/>
      <c r="J4" s="133"/>
      <c r="K4" s="134" t="s">
        <v>85</v>
      </c>
      <c r="L4" s="135" t="s">
        <v>82</v>
      </c>
      <c r="M4" s="136" t="s">
        <v>83</v>
      </c>
      <c r="N4" s="495" t="s">
        <v>254</v>
      </c>
      <c r="O4" s="136"/>
      <c r="P4" s="137" t="s">
        <v>77</v>
      </c>
      <c r="Q4" s="138"/>
      <c r="R4" s="139" t="s">
        <v>14</v>
      </c>
      <c r="S4" s="134" t="s">
        <v>85</v>
      </c>
      <c r="T4" s="135" t="s">
        <v>82</v>
      </c>
      <c r="U4" s="136" t="s">
        <v>83</v>
      </c>
      <c r="V4" s="537"/>
      <c r="W4" s="140"/>
    </row>
    <row r="5" spans="1:32" s="141" customFormat="1" ht="18.75" customHeight="1" x14ac:dyDescent="0.2">
      <c r="A5" s="468"/>
      <c r="B5" s="142"/>
      <c r="C5" s="143"/>
      <c r="D5" s="144" t="s">
        <v>15</v>
      </c>
      <c r="E5" s="143" t="s">
        <v>16</v>
      </c>
      <c r="F5" s="143"/>
      <c r="G5" s="143"/>
      <c r="H5" s="143"/>
      <c r="I5" s="143"/>
      <c r="J5" s="144" t="s">
        <v>17</v>
      </c>
      <c r="K5" s="145" t="s">
        <v>18</v>
      </c>
      <c r="L5" s="146" t="s">
        <v>18</v>
      </c>
      <c r="M5" s="147" t="s">
        <v>84</v>
      </c>
      <c r="N5" s="496" t="s">
        <v>255</v>
      </c>
      <c r="O5" s="147"/>
      <c r="P5" s="148" t="s">
        <v>19</v>
      </c>
      <c r="Q5" s="149" t="s">
        <v>20</v>
      </c>
      <c r="R5" s="170" t="s">
        <v>41</v>
      </c>
      <c r="S5" s="151" t="s">
        <v>21</v>
      </c>
      <c r="T5" s="146" t="s">
        <v>21</v>
      </c>
      <c r="U5" s="147" t="s">
        <v>84</v>
      </c>
      <c r="V5" s="538"/>
      <c r="W5" s="140"/>
      <c r="AC5" s="70" t="s">
        <v>73</v>
      </c>
      <c r="AD5" s="85"/>
      <c r="AE5" s="85"/>
      <c r="AF5" s="86"/>
    </row>
    <row r="6" spans="1:32" ht="13.5" customHeight="1" x14ac:dyDescent="0.2">
      <c r="A6" s="469" t="s">
        <v>127</v>
      </c>
      <c r="B6" s="152">
        <v>1</v>
      </c>
      <c r="C6" s="185" t="s">
        <v>127</v>
      </c>
      <c r="D6" s="153"/>
      <c r="E6" s="153"/>
      <c r="F6" s="153"/>
      <c r="G6" s="155"/>
      <c r="H6" s="153"/>
      <c r="I6" s="153"/>
      <c r="J6" s="201"/>
      <c r="K6" s="375"/>
      <c r="L6" s="376"/>
      <c r="M6" s="375"/>
      <c r="N6" s="375"/>
      <c r="O6" s="375"/>
      <c r="P6" s="187">
        <v>0.7</v>
      </c>
      <c r="Q6" s="388">
        <v>0.3</v>
      </c>
      <c r="R6" s="201"/>
      <c r="S6" s="375"/>
      <c r="T6" s="376"/>
      <c r="U6" s="375"/>
      <c r="V6" s="538"/>
      <c r="W6" s="128"/>
      <c r="AC6" s="87" t="s">
        <v>86</v>
      </c>
      <c r="AD6" s="88" t="s">
        <v>87</v>
      </c>
      <c r="AE6" s="88"/>
      <c r="AF6" s="75"/>
    </row>
    <row r="7" spans="1:32" ht="13.5" customHeight="1" x14ac:dyDescent="0.2">
      <c r="A7" s="469" t="s">
        <v>127</v>
      </c>
      <c r="B7" s="162"/>
      <c r="C7" s="126" t="s">
        <v>208</v>
      </c>
      <c r="D7" s="74">
        <f>Eingabe_1!D14</f>
        <v>0</v>
      </c>
      <c r="E7" s="74" t="s">
        <v>25</v>
      </c>
      <c r="J7" s="165">
        <v>3000</v>
      </c>
      <c r="K7" s="383">
        <f>J7*D7</f>
        <v>0</v>
      </c>
      <c r="L7" s="169">
        <f>Eingabe_1!D15*Eingabe_1!D14</f>
        <v>0</v>
      </c>
      <c r="M7" s="168" t="str">
        <f>Eingabe_1!D16</f>
        <v>Richtwert</v>
      </c>
      <c r="N7" s="168"/>
      <c r="O7" s="204"/>
      <c r="P7" s="170"/>
      <c r="Q7" s="173"/>
      <c r="R7" s="165"/>
      <c r="S7" s="204"/>
      <c r="T7" s="382"/>
      <c r="U7" s="168"/>
      <c r="V7" s="539"/>
      <c r="W7" s="128"/>
      <c r="AC7" s="89">
        <f>IF(M7=$K$4,K7,L7)</f>
        <v>0</v>
      </c>
      <c r="AD7" s="90">
        <f>IF(U7=$S$4,S7,T7)</f>
        <v>0</v>
      </c>
      <c r="AE7" s="90"/>
      <c r="AF7" s="75"/>
    </row>
    <row r="8" spans="1:32" ht="13.5" customHeight="1" x14ac:dyDescent="0.2">
      <c r="A8" s="469" t="s">
        <v>127</v>
      </c>
      <c r="B8" s="162"/>
      <c r="C8" s="126" t="s">
        <v>212</v>
      </c>
      <c r="D8" s="74">
        <f>Eingabe_1!D18</f>
        <v>0</v>
      </c>
      <c r="E8" s="74" t="s">
        <v>25</v>
      </c>
      <c r="J8" s="165">
        <v>10000</v>
      </c>
      <c r="K8" s="383">
        <f>J8*D8</f>
        <v>0</v>
      </c>
      <c r="L8" s="169">
        <f>Eingabe_1!D19*Eingabe_1!D18</f>
        <v>0</v>
      </c>
      <c r="M8" s="168" t="str">
        <f>Eingabe_1!D20</f>
        <v>Richtwert</v>
      </c>
      <c r="N8" s="168"/>
      <c r="O8" s="204"/>
      <c r="P8" s="170">
        <f>(IF($M8=$K$4,$K8,$L8)*P$6)</f>
        <v>0</v>
      </c>
      <c r="Q8" s="173">
        <f>(IF($M8=$K$4,$K8,$L8)*Q$6)</f>
        <v>0</v>
      </c>
      <c r="R8" s="165" t="str">
        <f>IF(D8&gt;0,150,"-")</f>
        <v>-</v>
      </c>
      <c r="S8" s="165" t="str">
        <f>IF(D8=0,"",R8*D8)</f>
        <v/>
      </c>
      <c r="T8" s="169">
        <f>Eingabe_1!D21*D8</f>
        <v>0</v>
      </c>
      <c r="U8" s="168" t="str">
        <f>Eingabe_1!D22</f>
        <v>Richtwert</v>
      </c>
      <c r="V8" s="539"/>
      <c r="W8" s="128"/>
      <c r="AC8" s="89">
        <f>IF(M8=$K$4,K8,L8)</f>
        <v>0</v>
      </c>
      <c r="AD8" s="90" t="str">
        <f>IF(U8=$S$4,S8,T8)</f>
        <v/>
      </c>
      <c r="AE8" s="90"/>
      <c r="AF8" s="75"/>
    </row>
    <row r="9" spans="1:32" ht="13.5" customHeight="1" x14ac:dyDescent="0.2">
      <c r="A9" s="469" t="s">
        <v>127</v>
      </c>
      <c r="B9" s="162"/>
      <c r="C9" s="126" t="s">
        <v>213</v>
      </c>
      <c r="D9" s="74">
        <f>Eingabe_1!D24</f>
        <v>0</v>
      </c>
      <c r="E9" s="74" t="s">
        <v>25</v>
      </c>
      <c r="J9" s="165">
        <v>5500</v>
      </c>
      <c r="K9" s="383">
        <f>J9*D9</f>
        <v>0</v>
      </c>
      <c r="L9" s="169">
        <f>Eingabe_1!D25*Eingabe_1!D24</f>
        <v>0</v>
      </c>
      <c r="M9" s="168" t="str">
        <f>Eingabe_1!D26</f>
        <v>Richtwert</v>
      </c>
      <c r="N9" s="168"/>
      <c r="O9" s="204"/>
      <c r="P9" s="170">
        <f>(IF($M9=$K$4,$K9,$L9)*P$6)</f>
        <v>0</v>
      </c>
      <c r="Q9" s="173">
        <f>(IF($M9=$K$4,$K9,$L9)*Q$6)</f>
        <v>0</v>
      </c>
      <c r="R9" s="165" t="str">
        <f>IF(D9&gt;0,60,"-")</f>
        <v>-</v>
      </c>
      <c r="S9" s="165" t="str">
        <f>IF(D9=0,"",R9*D9)</f>
        <v/>
      </c>
      <c r="T9" s="169">
        <f>Eingabe_1!D27*D9</f>
        <v>0</v>
      </c>
      <c r="U9" s="168" t="str">
        <f>Eingabe_1!D28</f>
        <v>Richtwert</v>
      </c>
      <c r="V9" s="539"/>
      <c r="W9" s="128"/>
      <c r="AC9" s="89">
        <f>IF(M9=$K$4,K9,L9)</f>
        <v>0</v>
      </c>
      <c r="AD9" s="90" t="str">
        <f>IF(U9=$S$4,S9,T9)</f>
        <v/>
      </c>
      <c r="AE9" s="90"/>
      <c r="AF9" s="75"/>
    </row>
    <row r="10" spans="1:32" ht="13.5" customHeight="1" x14ac:dyDescent="0.2">
      <c r="A10" s="469" t="s">
        <v>127</v>
      </c>
      <c r="B10" s="162"/>
      <c r="C10" s="127"/>
      <c r="J10" s="165"/>
      <c r="K10" s="204"/>
      <c r="L10" s="213"/>
      <c r="M10" s="204"/>
      <c r="N10" s="204"/>
      <c r="O10" s="204"/>
      <c r="P10" s="170"/>
      <c r="Q10" s="173"/>
      <c r="R10" s="165"/>
      <c r="S10" s="204"/>
      <c r="T10" s="213"/>
      <c r="U10" s="204"/>
      <c r="V10" s="538"/>
      <c r="W10" s="128"/>
      <c r="AC10" s="93"/>
      <c r="AD10" s="94"/>
      <c r="AE10" s="94"/>
      <c r="AF10" s="75"/>
    </row>
    <row r="11" spans="1:32" ht="13.5" customHeight="1" x14ac:dyDescent="0.2">
      <c r="A11" s="469" t="s">
        <v>127</v>
      </c>
      <c r="B11" s="162"/>
      <c r="C11" s="127" t="s">
        <v>26</v>
      </c>
      <c r="D11" s="381">
        <f>SUM(D7:D10)</f>
        <v>0</v>
      </c>
      <c r="E11" s="381" t="s">
        <v>25</v>
      </c>
      <c r="J11" s="165"/>
      <c r="K11" s="387">
        <f>SUM(K7:K10)</f>
        <v>0</v>
      </c>
      <c r="L11" s="381">
        <f>SUM(L7:L10)</f>
        <v>0</v>
      </c>
      <c r="M11" s="386">
        <f>AC11</f>
        <v>0</v>
      </c>
      <c r="N11" s="204"/>
      <c r="O11" s="204"/>
      <c r="P11" s="197">
        <f>SUM(P7:P10)</f>
        <v>0</v>
      </c>
      <c r="Q11" s="415">
        <f>SUM(Q7:Q10)</f>
        <v>0</v>
      </c>
      <c r="R11" s="165"/>
      <c r="S11" s="196">
        <f>SUM(S7:S10)</f>
        <v>0</v>
      </c>
      <c r="T11" s="196">
        <f>SUM(T7:T10)</f>
        <v>0</v>
      </c>
      <c r="U11" s="489">
        <f>AD11</f>
        <v>0</v>
      </c>
      <c r="V11" s="540"/>
      <c r="W11" s="128"/>
      <c r="AC11" s="490">
        <f>SUM(AC7:AC10)</f>
        <v>0</v>
      </c>
      <c r="AD11" s="491">
        <f>SUM(AD7:AD10)</f>
        <v>0</v>
      </c>
      <c r="AE11" s="491"/>
      <c r="AF11" s="75"/>
    </row>
    <row r="12" spans="1:32" ht="13.5" customHeight="1" x14ac:dyDescent="0.2">
      <c r="A12" s="466" t="s">
        <v>63</v>
      </c>
      <c r="B12" s="152">
        <v>2</v>
      </c>
      <c r="C12" s="185" t="s">
        <v>63</v>
      </c>
      <c r="D12" s="153"/>
      <c r="E12" s="153"/>
      <c r="F12" s="154" t="s">
        <v>23</v>
      </c>
      <c r="G12" s="155"/>
      <c r="H12" s="153"/>
      <c r="I12" s="154" t="s">
        <v>62</v>
      </c>
      <c r="J12" s="155"/>
      <c r="K12" s="156"/>
      <c r="L12" s="157"/>
      <c r="M12" s="156"/>
      <c r="N12" s="156"/>
      <c r="O12" s="156"/>
      <c r="P12" s="158"/>
      <c r="Q12" s="159"/>
      <c r="R12" s="160"/>
      <c r="S12" s="161"/>
      <c r="T12" s="157"/>
      <c r="U12" s="156"/>
      <c r="V12" s="541"/>
      <c r="W12" s="128"/>
      <c r="AC12" s="385"/>
      <c r="AF12" s="75"/>
    </row>
    <row r="13" spans="1:32" ht="13.5" customHeight="1" x14ac:dyDescent="0.2">
      <c r="A13" s="466" t="s">
        <v>63</v>
      </c>
      <c r="B13" s="162"/>
      <c r="C13" s="163" t="s">
        <v>196</v>
      </c>
      <c r="D13" s="174">
        <f>Eingabe_1!D31</f>
        <v>0</v>
      </c>
      <c r="E13" s="163" t="s">
        <v>24</v>
      </c>
      <c r="F13" s="165">
        <f>Eingabe_1!D32</f>
        <v>0</v>
      </c>
      <c r="G13" s="126" t="str">
        <f>Eingabe_1!D33</f>
        <v>Freispiegel</v>
      </c>
      <c r="H13" s="126" t="str">
        <f>Eingabe_1!D34</f>
        <v>Straße</v>
      </c>
      <c r="I13" s="166" t="str">
        <f>Eingabe_1!D35</f>
        <v>2,5m</v>
      </c>
      <c r="J13" s="168">
        <f t="shared" ref="J13:J24" si="0">IF(G13="Freispiegel",VLOOKUP(AF13,C$105:D$108,2,FALSE)*F13+VLOOKUP(AF13,C$105:E$108,3,FALSE),VLOOKUP(AF13,C$109:D$111,2,FALSE)*F13^2+VLOOKUP(AF13,C$109:E$111,3,FALSE)*F13+VLOOKUP(AF13,C$109:F$111,4,FALSE))</f>
        <v>375.99</v>
      </c>
      <c r="K13" s="168">
        <f t="shared" ref="K13:K24" si="1">IF(AND(G13="Freispiegel",H13="Straße ländlich"),"Straße ländlich nur bei Druckleitung zulässig",D13*J13)</f>
        <v>0</v>
      </c>
      <c r="L13" s="169">
        <f>Eingabe_1!D36</f>
        <v>0</v>
      </c>
      <c r="M13" s="168" t="str">
        <f>Eingabe_1!D37</f>
        <v>Richtwert</v>
      </c>
      <c r="N13" s="494"/>
      <c r="O13" s="168"/>
      <c r="P13" s="170"/>
      <c r="Q13" s="171"/>
      <c r="R13" s="369">
        <f>IF(G13="Freispiegel",0.9,IF(G13="Druckleitung",0.6,""))</f>
        <v>0.9</v>
      </c>
      <c r="S13" s="165">
        <f t="shared" ref="S13:S24" si="2">R13*D13</f>
        <v>0</v>
      </c>
      <c r="T13" s="169">
        <f>Eingabe_1!D38</f>
        <v>0</v>
      </c>
      <c r="U13" s="168" t="str">
        <f>Eingabe_1!D39</f>
        <v>Richtwert</v>
      </c>
      <c r="V13" s="539"/>
      <c r="AC13" s="89">
        <f>IF(M13=$K$4,K13,L13)</f>
        <v>0</v>
      </c>
      <c r="AD13" s="90">
        <f t="shared" ref="AD13:AD24" si="3">IF(U13=$S$4,S13,T13)</f>
        <v>0</v>
      </c>
      <c r="AE13" s="90"/>
      <c r="AF13" s="91" t="str">
        <f t="shared" ref="AF13:AF24" si="4">IF(G13="Freispiegel",G13&amp;H13&amp;I13,G13&amp;H13)</f>
        <v>FreispiegelStraße2,5m</v>
      </c>
    </row>
    <row r="14" spans="1:32" ht="13.5" customHeight="1" x14ac:dyDescent="0.2">
      <c r="A14" s="466" t="s">
        <v>63</v>
      </c>
      <c r="B14" s="162"/>
      <c r="C14" s="163" t="s">
        <v>197</v>
      </c>
      <c r="D14" s="174">
        <f>Eingabe_1!D41</f>
        <v>0</v>
      </c>
      <c r="E14" s="163" t="s">
        <v>24</v>
      </c>
      <c r="F14" s="165">
        <f>Eingabe_1!D42</f>
        <v>0</v>
      </c>
      <c r="G14" s="126" t="str">
        <f>Eingabe_1!D43</f>
        <v>Freispiegel</v>
      </c>
      <c r="H14" s="126" t="str">
        <f>Eingabe_1!D44</f>
        <v>Straße</v>
      </c>
      <c r="I14" s="166" t="str">
        <f>Eingabe_1!D45</f>
        <v>2,5m</v>
      </c>
      <c r="J14" s="168">
        <f t="shared" si="0"/>
        <v>375.99</v>
      </c>
      <c r="K14" s="168">
        <f t="shared" si="1"/>
        <v>0</v>
      </c>
      <c r="L14" s="169">
        <f>Eingabe_1!D46</f>
        <v>0</v>
      </c>
      <c r="M14" s="168" t="str">
        <f>Eingabe_1!D47</f>
        <v>Richtwert</v>
      </c>
      <c r="N14" s="168"/>
      <c r="O14" s="168"/>
      <c r="P14" s="170"/>
      <c r="Q14" s="171"/>
      <c r="R14" s="369">
        <f t="shared" ref="R14:R24" si="5">IF(G14="Freispiegel",0.9,IF(G14="Druckleitung",0.6,""))</f>
        <v>0.9</v>
      </c>
      <c r="S14" s="165">
        <f t="shared" si="2"/>
        <v>0</v>
      </c>
      <c r="T14" s="169">
        <f>Eingabe_1!D48</f>
        <v>0</v>
      </c>
      <c r="U14" s="168" t="str">
        <f>Eingabe_1!D49</f>
        <v>Richtwert</v>
      </c>
      <c r="V14" s="539"/>
      <c r="AC14" s="89">
        <f>IF(M14=$K$4,K14,L14)</f>
        <v>0</v>
      </c>
      <c r="AD14" s="90">
        <f t="shared" si="3"/>
        <v>0</v>
      </c>
      <c r="AE14" s="90"/>
      <c r="AF14" s="91" t="str">
        <f t="shared" si="4"/>
        <v>FreispiegelStraße2,5m</v>
      </c>
    </row>
    <row r="15" spans="1:32" ht="13.5" customHeight="1" x14ac:dyDescent="0.2">
      <c r="A15" s="466" t="s">
        <v>63</v>
      </c>
      <c r="B15" s="162"/>
      <c r="C15" s="163" t="s">
        <v>198</v>
      </c>
      <c r="D15" s="174">
        <f>Eingabe_1!D51</f>
        <v>0</v>
      </c>
      <c r="E15" s="163" t="s">
        <v>24</v>
      </c>
      <c r="F15" s="165">
        <f>Eingabe_1!D52</f>
        <v>0</v>
      </c>
      <c r="G15" s="126" t="str">
        <f>Eingabe_1!D53</f>
        <v>Freispiegel</v>
      </c>
      <c r="H15" s="126" t="str">
        <f>Eingabe_1!D54</f>
        <v>Straße</v>
      </c>
      <c r="I15" s="166" t="str">
        <f>Eingabe_1!D55</f>
        <v>2,5m</v>
      </c>
      <c r="J15" s="168">
        <f t="shared" si="0"/>
        <v>375.99</v>
      </c>
      <c r="K15" s="168">
        <f t="shared" si="1"/>
        <v>0</v>
      </c>
      <c r="L15" s="169">
        <f>Eingabe_1!D56</f>
        <v>0</v>
      </c>
      <c r="M15" s="168" t="str">
        <f>Eingabe_1!D57</f>
        <v>Richtwert</v>
      </c>
      <c r="N15" s="168"/>
      <c r="O15" s="168"/>
      <c r="P15" s="170"/>
      <c r="Q15" s="171"/>
      <c r="R15" s="369">
        <f t="shared" si="5"/>
        <v>0.9</v>
      </c>
      <c r="S15" s="165">
        <f t="shared" si="2"/>
        <v>0</v>
      </c>
      <c r="T15" s="169">
        <f>Eingabe_1!D58</f>
        <v>0</v>
      </c>
      <c r="U15" s="168" t="str">
        <f>Eingabe_1!D59</f>
        <v>Richtwert</v>
      </c>
      <c r="V15" s="539"/>
      <c r="AC15" s="89">
        <f>IF(M15=$K$4,K15,L15)</f>
        <v>0</v>
      </c>
      <c r="AD15" s="90">
        <f t="shared" si="3"/>
        <v>0</v>
      </c>
      <c r="AE15" s="90"/>
      <c r="AF15" s="91" t="str">
        <f t="shared" si="4"/>
        <v>FreispiegelStraße2,5m</v>
      </c>
    </row>
    <row r="16" spans="1:32" ht="13.5" customHeight="1" x14ac:dyDescent="0.2">
      <c r="A16" s="466" t="s">
        <v>63</v>
      </c>
      <c r="B16" s="162"/>
      <c r="C16" s="126" t="s">
        <v>216</v>
      </c>
      <c r="D16" s="74">
        <f>Eingabe_1!D61</f>
        <v>0</v>
      </c>
      <c r="E16" s="126" t="s">
        <v>24</v>
      </c>
      <c r="F16" s="383">
        <f>Eingabe_1!D62</f>
        <v>0</v>
      </c>
      <c r="G16" s="126" t="str">
        <f>Eingabe_1!D63</f>
        <v>Freispiegel</v>
      </c>
      <c r="H16" s="126" t="str">
        <f>Eingabe_1!D64</f>
        <v>Straße</v>
      </c>
      <c r="I16" s="166" t="str">
        <f>Eingabe_1!D65</f>
        <v>2,5m</v>
      </c>
      <c r="J16" s="395">
        <f t="shared" si="0"/>
        <v>375.99</v>
      </c>
      <c r="K16" s="395">
        <f t="shared" si="1"/>
        <v>0</v>
      </c>
      <c r="L16" s="169">
        <f>Eingabe_1!D66</f>
        <v>0</v>
      </c>
      <c r="M16" s="168" t="str">
        <f>Eingabe_1!D67</f>
        <v>Richtwert</v>
      </c>
      <c r="N16" s="168"/>
      <c r="O16" s="168"/>
      <c r="P16" s="170"/>
      <c r="Q16" s="171"/>
      <c r="R16" s="369">
        <f t="shared" si="5"/>
        <v>0.9</v>
      </c>
      <c r="S16" s="165">
        <f t="shared" si="2"/>
        <v>0</v>
      </c>
      <c r="T16" s="169">
        <f>Eingabe_1!D68</f>
        <v>0</v>
      </c>
      <c r="U16" s="168" t="str">
        <f>Eingabe_1!D69</f>
        <v>Richtwert</v>
      </c>
      <c r="V16" s="539"/>
      <c r="AC16" s="89">
        <f t="shared" ref="AC16:AC21" si="6">IF(M16=$K$4,K16,L16)</f>
        <v>0</v>
      </c>
      <c r="AD16" s="90">
        <f t="shared" si="3"/>
        <v>0</v>
      </c>
      <c r="AE16" s="90"/>
      <c r="AF16" s="91" t="str">
        <f t="shared" si="4"/>
        <v>FreispiegelStraße2,5m</v>
      </c>
    </row>
    <row r="17" spans="1:32" ht="13.5" customHeight="1" x14ac:dyDescent="0.2">
      <c r="A17" s="466" t="s">
        <v>63</v>
      </c>
      <c r="B17" s="162"/>
      <c r="C17" s="126" t="s">
        <v>217</v>
      </c>
      <c r="D17" s="74">
        <f>Eingabe_1!D71</f>
        <v>0</v>
      </c>
      <c r="E17" s="126" t="s">
        <v>24</v>
      </c>
      <c r="F17" s="383">
        <f>Eingabe_1!D72</f>
        <v>0</v>
      </c>
      <c r="G17" s="126" t="str">
        <f>Eingabe_1!D73</f>
        <v>Freispiegel</v>
      </c>
      <c r="H17" s="126" t="str">
        <f>Eingabe_1!D74</f>
        <v>Straße</v>
      </c>
      <c r="I17" s="166" t="str">
        <f>Eingabe_1!D75</f>
        <v>2,5m</v>
      </c>
      <c r="J17" s="395">
        <f t="shared" si="0"/>
        <v>375.99</v>
      </c>
      <c r="K17" s="395">
        <f t="shared" si="1"/>
        <v>0</v>
      </c>
      <c r="L17" s="169">
        <f>Eingabe_1!D76</f>
        <v>0</v>
      </c>
      <c r="M17" s="168" t="str">
        <f>Eingabe_1!D77</f>
        <v>Richtwert</v>
      </c>
      <c r="N17" s="168"/>
      <c r="O17" s="168"/>
      <c r="P17" s="170"/>
      <c r="Q17" s="171"/>
      <c r="R17" s="369">
        <f t="shared" si="5"/>
        <v>0.9</v>
      </c>
      <c r="S17" s="165">
        <f t="shared" si="2"/>
        <v>0</v>
      </c>
      <c r="T17" s="169">
        <f>Eingabe_1!D78</f>
        <v>0</v>
      </c>
      <c r="U17" s="168" t="str">
        <f>Eingabe_1!D79</f>
        <v>Richtwert</v>
      </c>
      <c r="V17" s="539"/>
      <c r="AC17" s="89">
        <f t="shared" si="6"/>
        <v>0</v>
      </c>
      <c r="AD17" s="90">
        <f t="shared" si="3"/>
        <v>0</v>
      </c>
      <c r="AE17" s="90"/>
      <c r="AF17" s="91" t="str">
        <f t="shared" si="4"/>
        <v>FreispiegelStraße2,5m</v>
      </c>
    </row>
    <row r="18" spans="1:32" ht="13.5" customHeight="1" x14ac:dyDescent="0.2">
      <c r="A18" s="466" t="s">
        <v>63</v>
      </c>
      <c r="B18" s="162"/>
      <c r="C18" s="126" t="s">
        <v>218</v>
      </c>
      <c r="D18" s="74">
        <f>Eingabe_1!D81</f>
        <v>0</v>
      </c>
      <c r="E18" s="126" t="s">
        <v>24</v>
      </c>
      <c r="F18" s="383">
        <f>Eingabe_1!D82</f>
        <v>0</v>
      </c>
      <c r="G18" s="126" t="str">
        <f>Eingabe_1!D83</f>
        <v>Freispiegel</v>
      </c>
      <c r="H18" s="126" t="str">
        <f>Eingabe_1!D84</f>
        <v>Straße</v>
      </c>
      <c r="I18" s="166" t="str">
        <f>Eingabe_1!D85</f>
        <v>2,5m</v>
      </c>
      <c r="J18" s="395">
        <f t="shared" si="0"/>
        <v>375.99</v>
      </c>
      <c r="K18" s="395">
        <f t="shared" si="1"/>
        <v>0</v>
      </c>
      <c r="L18" s="169">
        <f>Eingabe_1!D86</f>
        <v>0</v>
      </c>
      <c r="M18" s="168" t="str">
        <f>Eingabe_1!D87</f>
        <v>Richtwert</v>
      </c>
      <c r="N18" s="168"/>
      <c r="O18" s="168"/>
      <c r="P18" s="170"/>
      <c r="Q18" s="171"/>
      <c r="R18" s="369">
        <f t="shared" si="5"/>
        <v>0.9</v>
      </c>
      <c r="S18" s="165">
        <f t="shared" si="2"/>
        <v>0</v>
      </c>
      <c r="T18" s="169">
        <f>Eingabe_1!D88</f>
        <v>0</v>
      </c>
      <c r="U18" s="168" t="str">
        <f>Eingabe_1!D89</f>
        <v>Richtwert</v>
      </c>
      <c r="V18" s="539"/>
      <c r="AC18" s="89">
        <f t="shared" si="6"/>
        <v>0</v>
      </c>
      <c r="AD18" s="90">
        <f t="shared" si="3"/>
        <v>0</v>
      </c>
      <c r="AE18" s="90"/>
      <c r="AF18" s="91" t="str">
        <f t="shared" si="4"/>
        <v>FreispiegelStraße2,5m</v>
      </c>
    </row>
    <row r="19" spans="1:32" ht="13.5" customHeight="1" x14ac:dyDescent="0.2">
      <c r="A19" s="466" t="s">
        <v>63</v>
      </c>
      <c r="B19" s="162"/>
      <c r="C19" s="126" t="s">
        <v>220</v>
      </c>
      <c r="D19" s="74">
        <f>Eingabe_1!D91</f>
        <v>0</v>
      </c>
      <c r="E19" s="126" t="s">
        <v>24</v>
      </c>
      <c r="F19" s="383">
        <f>Eingabe_1!D92</f>
        <v>0</v>
      </c>
      <c r="G19" s="126" t="str">
        <f>Eingabe_1!D93</f>
        <v>Freispiegel</v>
      </c>
      <c r="H19" s="126" t="str">
        <f>Eingabe_1!D94</f>
        <v>Straße</v>
      </c>
      <c r="I19" s="166" t="str">
        <f>Eingabe_1!D95</f>
        <v>2,5m</v>
      </c>
      <c r="J19" s="168">
        <f t="shared" si="0"/>
        <v>375.99</v>
      </c>
      <c r="K19" s="168">
        <f t="shared" si="1"/>
        <v>0</v>
      </c>
      <c r="L19" s="169">
        <f>Eingabe_1!D96</f>
        <v>0</v>
      </c>
      <c r="M19" s="168" t="str">
        <f>Eingabe_1!D97</f>
        <v>Richtwert</v>
      </c>
      <c r="N19" s="168"/>
      <c r="O19" s="168"/>
      <c r="P19" s="170"/>
      <c r="Q19" s="171"/>
      <c r="R19" s="369">
        <f t="shared" si="5"/>
        <v>0.9</v>
      </c>
      <c r="S19" s="165">
        <f t="shared" si="2"/>
        <v>0</v>
      </c>
      <c r="T19" s="169">
        <f>Eingabe_1!D98</f>
        <v>0</v>
      </c>
      <c r="U19" s="168" t="str">
        <f>Eingabe_1!D99</f>
        <v>Richtwert</v>
      </c>
      <c r="V19" s="539"/>
      <c r="AC19" s="89">
        <f t="shared" si="6"/>
        <v>0</v>
      </c>
      <c r="AD19" s="90">
        <f t="shared" si="3"/>
        <v>0</v>
      </c>
      <c r="AE19" s="90"/>
      <c r="AF19" s="91" t="str">
        <f t="shared" si="4"/>
        <v>FreispiegelStraße2,5m</v>
      </c>
    </row>
    <row r="20" spans="1:32" ht="13.5" customHeight="1" x14ac:dyDescent="0.2">
      <c r="A20" s="466" t="s">
        <v>63</v>
      </c>
      <c r="B20" s="162"/>
      <c r="C20" s="126" t="s">
        <v>221</v>
      </c>
      <c r="D20" s="74">
        <f>Eingabe_1!D101</f>
        <v>0</v>
      </c>
      <c r="E20" s="126" t="s">
        <v>24</v>
      </c>
      <c r="F20" s="383">
        <f>Eingabe_1!D102</f>
        <v>0</v>
      </c>
      <c r="G20" s="126" t="str">
        <f>Eingabe_1!D103</f>
        <v>Freispiegel</v>
      </c>
      <c r="H20" s="126" t="str">
        <f>Eingabe_1!D104</f>
        <v>Straße</v>
      </c>
      <c r="I20" s="166" t="str">
        <f>Eingabe_1!D105</f>
        <v>2,5m</v>
      </c>
      <c r="J20" s="168">
        <f t="shared" si="0"/>
        <v>375.99</v>
      </c>
      <c r="K20" s="168">
        <f t="shared" si="1"/>
        <v>0</v>
      </c>
      <c r="L20" s="169">
        <f>Eingabe_1!D106</f>
        <v>0</v>
      </c>
      <c r="M20" s="168" t="str">
        <f>Eingabe_1!D107</f>
        <v>Richtwert</v>
      </c>
      <c r="N20" s="168"/>
      <c r="O20" s="168"/>
      <c r="P20" s="170"/>
      <c r="Q20" s="171"/>
      <c r="R20" s="369">
        <f t="shared" si="5"/>
        <v>0.9</v>
      </c>
      <c r="S20" s="165">
        <f t="shared" si="2"/>
        <v>0</v>
      </c>
      <c r="T20" s="169">
        <f>Eingabe_1!D108</f>
        <v>0</v>
      </c>
      <c r="U20" s="168" t="str">
        <f>Eingabe_1!D109</f>
        <v>Richtwert</v>
      </c>
      <c r="V20" s="539"/>
      <c r="AC20" s="89">
        <f t="shared" si="6"/>
        <v>0</v>
      </c>
      <c r="AD20" s="90">
        <f t="shared" si="3"/>
        <v>0</v>
      </c>
      <c r="AE20" s="90"/>
      <c r="AF20" s="91" t="str">
        <f t="shared" si="4"/>
        <v>FreispiegelStraße2,5m</v>
      </c>
    </row>
    <row r="21" spans="1:32" ht="13.5" customHeight="1" x14ac:dyDescent="0.2">
      <c r="A21" s="466" t="s">
        <v>63</v>
      </c>
      <c r="B21" s="162"/>
      <c r="C21" s="126" t="s">
        <v>222</v>
      </c>
      <c r="D21" s="74">
        <f>Eingabe_1!D111</f>
        <v>0</v>
      </c>
      <c r="E21" s="126" t="s">
        <v>24</v>
      </c>
      <c r="F21" s="383">
        <f>Eingabe_1!D112</f>
        <v>0</v>
      </c>
      <c r="G21" s="126" t="str">
        <f>Eingabe_1!D113</f>
        <v>Freispiegel</v>
      </c>
      <c r="H21" s="126" t="str">
        <f>Eingabe_1!D114</f>
        <v>Straße</v>
      </c>
      <c r="I21" s="166" t="str">
        <f>Eingabe_1!D115</f>
        <v>2,5m</v>
      </c>
      <c r="J21" s="168">
        <f t="shared" si="0"/>
        <v>375.99</v>
      </c>
      <c r="K21" s="168">
        <f t="shared" si="1"/>
        <v>0</v>
      </c>
      <c r="L21" s="169">
        <f>Eingabe_1!D116</f>
        <v>0</v>
      </c>
      <c r="M21" s="168" t="str">
        <f>Eingabe_1!D117</f>
        <v>Richtwert</v>
      </c>
      <c r="N21" s="168"/>
      <c r="O21" s="168"/>
      <c r="P21" s="170"/>
      <c r="Q21" s="171"/>
      <c r="R21" s="369">
        <f t="shared" si="5"/>
        <v>0.9</v>
      </c>
      <c r="S21" s="165">
        <f t="shared" si="2"/>
        <v>0</v>
      </c>
      <c r="T21" s="169">
        <f>Eingabe_1!D118</f>
        <v>0</v>
      </c>
      <c r="U21" s="168" t="str">
        <f>Eingabe_1!D119</f>
        <v>Richtwert</v>
      </c>
      <c r="V21" s="539"/>
      <c r="AC21" s="89">
        <f t="shared" si="6"/>
        <v>0</v>
      </c>
      <c r="AD21" s="90">
        <f t="shared" si="3"/>
        <v>0</v>
      </c>
      <c r="AE21" s="90"/>
      <c r="AF21" s="91" t="str">
        <f t="shared" si="4"/>
        <v>FreispiegelStraße2,5m</v>
      </c>
    </row>
    <row r="22" spans="1:32" ht="13.5" customHeight="1" x14ac:dyDescent="0.2">
      <c r="A22" s="466" t="s">
        <v>63</v>
      </c>
      <c r="B22" s="162"/>
      <c r="C22" s="394" t="s">
        <v>199</v>
      </c>
      <c r="D22" s="396">
        <f>Eingabe_1!D122</f>
        <v>0</v>
      </c>
      <c r="E22" s="394" t="s">
        <v>24</v>
      </c>
      <c r="F22" s="397">
        <f>Eingabe_1!D123</f>
        <v>0</v>
      </c>
      <c r="G22" s="398" t="str">
        <f>Eingabe_1!D124</f>
        <v>Druckleitung</v>
      </c>
      <c r="H22" s="398" t="str">
        <f>Eingabe_1!D125</f>
        <v>Gelände</v>
      </c>
      <c r="I22" s="399" t="str">
        <f>Eingabe_1!D126</f>
        <v>2,5m</v>
      </c>
      <c r="J22" s="400">
        <f t="shared" si="0"/>
        <v>175.5</v>
      </c>
      <c r="K22" s="400">
        <f t="shared" si="1"/>
        <v>0</v>
      </c>
      <c r="L22" s="169">
        <f>Eingabe_1!D127</f>
        <v>0</v>
      </c>
      <c r="M22" s="168" t="str">
        <f>Eingabe_1!D128</f>
        <v>Richtwert</v>
      </c>
      <c r="N22" s="168"/>
      <c r="O22" s="168"/>
      <c r="P22" s="170"/>
      <c r="Q22" s="173"/>
      <c r="R22" s="369">
        <f t="shared" si="5"/>
        <v>0.6</v>
      </c>
      <c r="S22" s="165">
        <f t="shared" si="2"/>
        <v>0</v>
      </c>
      <c r="T22" s="169">
        <f>Eingabe_1!D129</f>
        <v>0</v>
      </c>
      <c r="U22" s="168" t="str">
        <f>Eingabe_1!D130</f>
        <v>Richtwert</v>
      </c>
      <c r="V22" s="539"/>
      <c r="AC22" s="89">
        <f>IF(M22=K$4,K22,L22)</f>
        <v>0</v>
      </c>
      <c r="AD22" s="90">
        <f t="shared" si="3"/>
        <v>0</v>
      </c>
      <c r="AE22" s="90"/>
      <c r="AF22" s="91" t="str">
        <f t="shared" si="4"/>
        <v>DruckleitungGelände</v>
      </c>
    </row>
    <row r="23" spans="1:32" ht="13.5" customHeight="1" x14ac:dyDescent="0.2">
      <c r="A23" s="466" t="s">
        <v>63</v>
      </c>
      <c r="B23" s="162"/>
      <c r="C23" s="394" t="s">
        <v>200</v>
      </c>
      <c r="D23" s="396">
        <f>Eingabe_1!D133</f>
        <v>0</v>
      </c>
      <c r="E23" s="394" t="s">
        <v>24</v>
      </c>
      <c r="F23" s="397">
        <f>Eingabe_1!D134</f>
        <v>0</v>
      </c>
      <c r="G23" s="398" t="str">
        <f>Eingabe_1!D135</f>
        <v>Druckleitung</v>
      </c>
      <c r="H23" s="398" t="str">
        <f>Eingabe_1!D136</f>
        <v>Straße ländlich</v>
      </c>
      <c r="I23" s="399" t="str">
        <f>Eingabe_1!D137</f>
        <v>2,5m</v>
      </c>
      <c r="J23" s="400">
        <f t="shared" si="0"/>
        <v>282.5</v>
      </c>
      <c r="K23" s="400">
        <f t="shared" si="1"/>
        <v>0</v>
      </c>
      <c r="L23" s="340">
        <f>Eingabe_1!D138</f>
        <v>0</v>
      </c>
      <c r="M23" s="168" t="str">
        <f>Eingabe_1!D139</f>
        <v>Richtwert</v>
      </c>
      <c r="N23" s="168"/>
      <c r="O23" s="168"/>
      <c r="P23" s="170"/>
      <c r="Q23" s="173"/>
      <c r="R23" s="369">
        <f t="shared" si="5"/>
        <v>0.6</v>
      </c>
      <c r="S23" s="165">
        <f t="shared" si="2"/>
        <v>0</v>
      </c>
      <c r="T23" s="169">
        <f>Eingabe_1!D140</f>
        <v>0</v>
      </c>
      <c r="U23" s="168" t="str">
        <f>Eingabe_1!D141</f>
        <v>Richtwert</v>
      </c>
      <c r="V23" s="539"/>
      <c r="AC23" s="89">
        <f>IF(M23=K$4,K23,L23)</f>
        <v>0</v>
      </c>
      <c r="AD23" s="90">
        <f t="shared" si="3"/>
        <v>0</v>
      </c>
      <c r="AE23" s="90"/>
      <c r="AF23" s="91" t="str">
        <f t="shared" si="4"/>
        <v>DruckleitungStraße ländlich</v>
      </c>
    </row>
    <row r="24" spans="1:32" ht="13.5" customHeight="1" x14ac:dyDescent="0.2">
      <c r="A24" s="466" t="s">
        <v>63</v>
      </c>
      <c r="B24" s="162"/>
      <c r="C24" s="394" t="s">
        <v>201</v>
      </c>
      <c r="D24" s="396">
        <f>Eingabe_1!D144</f>
        <v>0</v>
      </c>
      <c r="E24" s="394" t="s">
        <v>24</v>
      </c>
      <c r="F24" s="397">
        <f>Eingabe_1!D145</f>
        <v>0</v>
      </c>
      <c r="G24" s="398" t="str">
        <f>Eingabe_1!D146</f>
        <v>Druckleitung</v>
      </c>
      <c r="H24" s="398" t="str">
        <f>Eingabe_1!D147</f>
        <v>Straße</v>
      </c>
      <c r="I24" s="399" t="str">
        <f>Eingabe_1!D148</f>
        <v>2,5m</v>
      </c>
      <c r="J24" s="400">
        <f t="shared" si="0"/>
        <v>381.5</v>
      </c>
      <c r="K24" s="400">
        <f t="shared" si="1"/>
        <v>0</v>
      </c>
      <c r="L24" s="340">
        <f>Eingabe_1!D149</f>
        <v>0</v>
      </c>
      <c r="M24" s="168" t="str">
        <f>Eingabe_1!D150</f>
        <v>Richtwert</v>
      </c>
      <c r="N24" s="168"/>
      <c r="O24" s="168"/>
      <c r="P24" s="170"/>
      <c r="Q24" s="173"/>
      <c r="R24" s="369">
        <f t="shared" si="5"/>
        <v>0.6</v>
      </c>
      <c r="S24" s="165">
        <f t="shared" si="2"/>
        <v>0</v>
      </c>
      <c r="T24" s="169">
        <f>Eingabe_1!D151</f>
        <v>0</v>
      </c>
      <c r="U24" s="168" t="str">
        <f>Eingabe_1!D152</f>
        <v>Richtwert</v>
      </c>
      <c r="V24" s="539"/>
      <c r="AC24" s="89">
        <f>IF(M24=K$4,K24,L24)</f>
        <v>0</v>
      </c>
      <c r="AD24" s="90">
        <f t="shared" si="3"/>
        <v>0</v>
      </c>
      <c r="AE24" s="90"/>
      <c r="AF24" s="91" t="str">
        <f t="shared" si="4"/>
        <v>DruckleitungStraße</v>
      </c>
    </row>
    <row r="25" spans="1:32" ht="13.5" customHeight="1" x14ac:dyDescent="0.2">
      <c r="A25" s="466" t="s">
        <v>63</v>
      </c>
      <c r="B25" s="162"/>
      <c r="C25" s="127" t="s">
        <v>26</v>
      </c>
      <c r="D25" s="381">
        <f>SUM(D13:D24)</f>
        <v>0</v>
      </c>
      <c r="E25" s="381" t="s">
        <v>24</v>
      </c>
      <c r="J25" s="165"/>
      <c r="K25" s="184">
        <f>SUM(K13:K24)</f>
        <v>0</v>
      </c>
      <c r="L25" s="390">
        <f>SUM(L13:L24)</f>
        <v>0</v>
      </c>
      <c r="M25" s="386">
        <f>AC25</f>
        <v>0</v>
      </c>
      <c r="N25" s="204"/>
      <c r="O25" s="204"/>
      <c r="P25" s="170"/>
      <c r="Q25" s="173"/>
      <c r="R25" s="165"/>
      <c r="S25" s="184">
        <f>SUM(S13:S24)</f>
        <v>0</v>
      </c>
      <c r="T25" s="384">
        <f>SUM(T13:T24)</f>
        <v>0</v>
      </c>
      <c r="U25" s="489">
        <f>AD25</f>
        <v>0</v>
      </c>
      <c r="V25" s="540"/>
      <c r="W25" s="128"/>
      <c r="AC25" s="490">
        <f>SUM(AC13:AC24)</f>
        <v>0</v>
      </c>
      <c r="AD25" s="491">
        <f>SUM(AD13:AD24)</f>
        <v>0</v>
      </c>
      <c r="AE25" s="491"/>
      <c r="AF25" s="75"/>
    </row>
    <row r="26" spans="1:32" s="192" customFormat="1" ht="13.5" customHeight="1" x14ac:dyDescent="0.2">
      <c r="A26" s="467" t="s">
        <v>245</v>
      </c>
      <c r="B26" s="152">
        <v>3</v>
      </c>
      <c r="C26" s="185" t="s">
        <v>214</v>
      </c>
      <c r="D26" s="156"/>
      <c r="E26" s="153"/>
      <c r="F26" s="153"/>
      <c r="G26" s="155"/>
      <c r="H26" s="153"/>
      <c r="I26" s="153"/>
      <c r="J26" s="201"/>
      <c r="K26" s="201"/>
      <c r="L26" s="326"/>
      <c r="M26" s="201"/>
      <c r="N26" s="201"/>
      <c r="O26" s="201"/>
      <c r="P26" s="187">
        <v>0.6</v>
      </c>
      <c r="Q26" s="327">
        <v>0.4</v>
      </c>
      <c r="R26" s="348" t="s">
        <v>189</v>
      </c>
      <c r="S26" s="190" t="s">
        <v>27</v>
      </c>
      <c r="T26" s="326"/>
      <c r="U26" s="201"/>
      <c r="V26" s="542"/>
      <c r="W26" s="191"/>
      <c r="AC26" s="95"/>
      <c r="AD26" s="90"/>
      <c r="AE26" s="90"/>
      <c r="AF26" s="96"/>
    </row>
    <row r="27" spans="1:32" s="192" customFormat="1" ht="13.5" customHeight="1" x14ac:dyDescent="0.2">
      <c r="A27" s="467" t="s">
        <v>245</v>
      </c>
      <c r="B27" s="162"/>
      <c r="C27" s="126" t="s">
        <v>153</v>
      </c>
      <c r="D27" s="74">
        <f>Eingabe_2!D7</f>
        <v>0</v>
      </c>
      <c r="E27" s="74" t="s">
        <v>22</v>
      </c>
      <c r="F27" s="74">
        <f>Eingabe_2!D8</f>
        <v>0</v>
      </c>
      <c r="G27" s="126" t="s">
        <v>29</v>
      </c>
      <c r="H27" s="74"/>
      <c r="I27" s="74"/>
      <c r="J27" s="165"/>
      <c r="K27" s="165">
        <f>90967*D27^0.6109</f>
        <v>0</v>
      </c>
      <c r="L27" s="169">
        <f>Eingabe_2!D9</f>
        <v>0</v>
      </c>
      <c r="M27" s="168" t="str">
        <f>Eingabe_2!D10</f>
        <v>Richtwert</v>
      </c>
      <c r="N27" s="525">
        <f>Eingabe_2!D11</f>
        <v>1</v>
      </c>
      <c r="O27" s="168"/>
      <c r="P27" s="170">
        <f t="shared" ref="P27:Q34" si="7">(IF($M27=$K$4,$K27,$L27)*P$26)</f>
        <v>0</v>
      </c>
      <c r="Q27" s="165">
        <f t="shared" si="7"/>
        <v>0</v>
      </c>
      <c r="R27" s="170" t="str">
        <f>IF(D27&gt;0,1800,"-")</f>
        <v>-</v>
      </c>
      <c r="S27" s="165">
        <f>IF(AND(D27&gt;0,F27&gt;0),(F27+100)*1.75,0)</f>
        <v>0</v>
      </c>
      <c r="T27" s="169">
        <f>Eingabe_2!D12</f>
        <v>0</v>
      </c>
      <c r="U27" s="168" t="str">
        <f>Eingabe_2!D13</f>
        <v>Richtwert</v>
      </c>
      <c r="V27" s="539"/>
      <c r="W27" s="168"/>
      <c r="AC27" s="89">
        <f>IF(M27=K$4,K27*N27,L27*N27)</f>
        <v>0</v>
      </c>
      <c r="AD27" s="90">
        <f>IF(U27=T$4,T27,IF(OR(R27="-",S27="-"),0,R27+S27))</f>
        <v>0</v>
      </c>
      <c r="AE27" s="90"/>
      <c r="AF27" s="96"/>
    </row>
    <row r="28" spans="1:32" s="192" customFormat="1" ht="13.5" customHeight="1" x14ac:dyDescent="0.2">
      <c r="A28" s="467" t="s">
        <v>245</v>
      </c>
      <c r="B28" s="162"/>
      <c r="C28" s="126" t="s">
        <v>154</v>
      </c>
      <c r="D28" s="74">
        <f>Eingabe_2!D16</f>
        <v>0</v>
      </c>
      <c r="E28" s="74" t="s">
        <v>22</v>
      </c>
      <c r="F28" s="74">
        <f>Eingabe_2!D17</f>
        <v>0</v>
      </c>
      <c r="G28" s="126" t="s">
        <v>29</v>
      </c>
      <c r="H28" s="74"/>
      <c r="I28" s="74"/>
      <c r="J28" s="165"/>
      <c r="K28" s="165">
        <f t="shared" ref="K28:K31" si="8">90967*D28^0.6109</f>
        <v>0</v>
      </c>
      <c r="L28" s="169">
        <f>Eingabe_2!D18</f>
        <v>0</v>
      </c>
      <c r="M28" s="168" t="str">
        <f>Eingabe_2!D19</f>
        <v>Richtwert</v>
      </c>
      <c r="N28" s="525">
        <f>Eingabe_2!D20</f>
        <v>1</v>
      </c>
      <c r="O28" s="168"/>
      <c r="P28" s="170">
        <f t="shared" si="7"/>
        <v>0</v>
      </c>
      <c r="Q28" s="165">
        <f t="shared" si="7"/>
        <v>0</v>
      </c>
      <c r="R28" s="170" t="str">
        <f t="shared" ref="R28:R31" si="9">IF(D28&gt;0,1800,"-")</f>
        <v>-</v>
      </c>
      <c r="S28" s="165">
        <f t="shared" ref="S28:S29" si="10">IF(AND(D28&gt;0,F28&gt;0),(F28+100)*1.75,0)</f>
        <v>0</v>
      </c>
      <c r="T28" s="169">
        <f>Eingabe_2!D21</f>
        <v>0</v>
      </c>
      <c r="U28" s="168" t="str">
        <f>Eingabe_2!D22</f>
        <v>Richtwert</v>
      </c>
      <c r="V28" s="539"/>
      <c r="W28" s="168"/>
      <c r="AC28" s="89">
        <f t="shared" ref="AC28:AC33" si="11">IF(M28=K$4,K28*N28,L28*N28)</f>
        <v>0</v>
      </c>
      <c r="AD28" s="90">
        <f>IF(U28=T$4,T28,IF(OR(R28="-",S28="-"),0,R28+S28))</f>
        <v>0</v>
      </c>
      <c r="AE28" s="90"/>
      <c r="AF28" s="96"/>
    </row>
    <row r="29" spans="1:32" s="192" customFormat="1" ht="13.5" customHeight="1" x14ac:dyDescent="0.2">
      <c r="A29" s="467" t="s">
        <v>245</v>
      </c>
      <c r="B29" s="162"/>
      <c r="C29" s="126" t="s">
        <v>155</v>
      </c>
      <c r="D29" s="74">
        <f>Eingabe_2!D25</f>
        <v>0</v>
      </c>
      <c r="E29" s="74" t="s">
        <v>22</v>
      </c>
      <c r="F29" s="74">
        <f>Eingabe_2!D26</f>
        <v>0</v>
      </c>
      <c r="G29" s="126" t="s">
        <v>29</v>
      </c>
      <c r="H29" s="74"/>
      <c r="I29" s="74"/>
      <c r="J29" s="165"/>
      <c r="K29" s="165">
        <f t="shared" si="8"/>
        <v>0</v>
      </c>
      <c r="L29" s="169">
        <f>Eingabe_2!D27</f>
        <v>0</v>
      </c>
      <c r="M29" s="168" t="str">
        <f>Eingabe_2!D28</f>
        <v>Richtwert</v>
      </c>
      <c r="N29" s="525">
        <f>Eingabe_2!D29</f>
        <v>1</v>
      </c>
      <c r="O29" s="168"/>
      <c r="P29" s="170">
        <f t="shared" si="7"/>
        <v>0</v>
      </c>
      <c r="Q29" s="165">
        <f t="shared" si="7"/>
        <v>0</v>
      </c>
      <c r="R29" s="170" t="str">
        <f t="shared" si="9"/>
        <v>-</v>
      </c>
      <c r="S29" s="165">
        <f t="shared" si="10"/>
        <v>0</v>
      </c>
      <c r="T29" s="169">
        <f>Eingabe_2!D30</f>
        <v>0</v>
      </c>
      <c r="U29" s="168" t="str">
        <f>Eingabe_2!D31</f>
        <v>Richtwert</v>
      </c>
      <c r="V29" s="539"/>
      <c r="W29" s="168"/>
      <c r="AC29" s="89">
        <f t="shared" si="11"/>
        <v>0</v>
      </c>
      <c r="AD29" s="90">
        <f>IF(U29=T$4,T29,IF(OR(R29="-",S29="-"),0,R29+S29))</f>
        <v>0</v>
      </c>
      <c r="AE29" s="90"/>
      <c r="AF29" s="96"/>
    </row>
    <row r="30" spans="1:32" s="192" customFormat="1" ht="13.5" customHeight="1" x14ac:dyDescent="0.2">
      <c r="A30" s="467" t="s">
        <v>245</v>
      </c>
      <c r="B30" s="162"/>
      <c r="C30" s="420" t="s">
        <v>243</v>
      </c>
      <c r="D30" s="74">
        <f>Eingabe_2!D34</f>
        <v>0</v>
      </c>
      <c r="E30" s="74" t="s">
        <v>22</v>
      </c>
      <c r="F30" s="74">
        <f>Eingabe_2!D35</f>
        <v>0</v>
      </c>
      <c r="G30" s="126" t="s">
        <v>29</v>
      </c>
      <c r="H30" s="74"/>
      <c r="I30" s="74"/>
      <c r="J30" s="165"/>
      <c r="K30" s="165">
        <f t="shared" si="8"/>
        <v>0</v>
      </c>
      <c r="L30" s="463">
        <f>Eingabe_2!D36</f>
        <v>0</v>
      </c>
      <c r="M30" s="168" t="str">
        <f>Eingabe_2!D37</f>
        <v>Richtwert</v>
      </c>
      <c r="N30" s="525">
        <f>Eingabe_2!D38</f>
        <v>1</v>
      </c>
      <c r="O30" s="168"/>
      <c r="P30" s="170">
        <f t="shared" si="7"/>
        <v>0</v>
      </c>
      <c r="Q30" s="165">
        <f t="shared" si="7"/>
        <v>0</v>
      </c>
      <c r="R30" s="170" t="str">
        <f t="shared" si="9"/>
        <v>-</v>
      </c>
      <c r="S30" s="165">
        <f t="shared" ref="S30:S31" si="12">IF(AND(D30&gt;0,F30&gt;0),F30*2.7,0)</f>
        <v>0</v>
      </c>
      <c r="T30" s="463">
        <f>Eingabe_2!D39</f>
        <v>0</v>
      </c>
      <c r="U30" s="168" t="str">
        <f>Eingabe_2!D40</f>
        <v>Richtwert</v>
      </c>
      <c r="V30" s="539"/>
      <c r="W30" s="168"/>
      <c r="AC30" s="89">
        <f t="shared" si="11"/>
        <v>0</v>
      </c>
      <c r="AD30" s="90">
        <f t="shared" ref="AD30:AD31" si="13">IF(U30=T$4,T30,IF(OR(R30="-",S30="-"),0,R30+S30))</f>
        <v>0</v>
      </c>
      <c r="AE30" s="90"/>
      <c r="AF30" s="96"/>
    </row>
    <row r="31" spans="1:32" s="192" customFormat="1" ht="13.5" customHeight="1" x14ac:dyDescent="0.2">
      <c r="A31" s="467" t="s">
        <v>245</v>
      </c>
      <c r="B31" s="162"/>
      <c r="C31" s="420" t="s">
        <v>244</v>
      </c>
      <c r="D31" s="74">
        <f>Eingabe_2!D43</f>
        <v>0</v>
      </c>
      <c r="E31" s="74" t="s">
        <v>22</v>
      </c>
      <c r="F31" s="74">
        <f>Eingabe_2!D44</f>
        <v>0</v>
      </c>
      <c r="G31" s="126" t="s">
        <v>29</v>
      </c>
      <c r="H31" s="74"/>
      <c r="I31" s="74"/>
      <c r="J31" s="165"/>
      <c r="K31" s="165">
        <f t="shared" si="8"/>
        <v>0</v>
      </c>
      <c r="L31" s="463">
        <f>Eingabe_2!D45</f>
        <v>0</v>
      </c>
      <c r="M31" s="168" t="str">
        <f>Eingabe_2!D46</f>
        <v>Richtwert</v>
      </c>
      <c r="N31" s="525">
        <f>Eingabe_2!D47</f>
        <v>1</v>
      </c>
      <c r="O31" s="168"/>
      <c r="P31" s="170">
        <f t="shared" si="7"/>
        <v>0</v>
      </c>
      <c r="Q31" s="165">
        <f t="shared" si="7"/>
        <v>0</v>
      </c>
      <c r="R31" s="170" t="str">
        <f t="shared" si="9"/>
        <v>-</v>
      </c>
      <c r="S31" s="165">
        <f t="shared" si="12"/>
        <v>0</v>
      </c>
      <c r="T31" s="463">
        <f>Eingabe_2!D48</f>
        <v>0</v>
      </c>
      <c r="U31" s="168" t="str">
        <f>Eingabe_2!D49</f>
        <v>Richtwert</v>
      </c>
      <c r="V31" s="539"/>
      <c r="W31" s="168"/>
      <c r="AC31" s="89">
        <f t="shared" si="11"/>
        <v>0</v>
      </c>
      <c r="AD31" s="90">
        <f t="shared" si="13"/>
        <v>0</v>
      </c>
      <c r="AE31" s="90"/>
      <c r="AF31" s="96"/>
    </row>
    <row r="32" spans="1:32" s="192" customFormat="1" ht="13.5" customHeight="1" x14ac:dyDescent="0.2">
      <c r="A32" s="467" t="s">
        <v>245</v>
      </c>
      <c r="B32" s="162"/>
      <c r="C32" s="126" t="s">
        <v>215</v>
      </c>
      <c r="D32" s="74"/>
      <c r="E32" s="74"/>
      <c r="F32" s="74">
        <f>Eingabe_2!D52</f>
        <v>0</v>
      </c>
      <c r="G32" s="126" t="s">
        <v>29</v>
      </c>
      <c r="H32" s="74"/>
      <c r="I32" s="74"/>
      <c r="J32" s="389"/>
      <c r="K32" s="165">
        <f>IF(F32=0,0,(0.0000006*F32^4)-(0.0013*F32^3)+(0.9796*F32^2)-(16.098*F32)+138587)*0.3*1.5</f>
        <v>0</v>
      </c>
      <c r="L32" s="169">
        <f>Eingabe_2!D53</f>
        <v>0</v>
      </c>
      <c r="M32" s="168" t="str">
        <f>Eingabe_2!D54</f>
        <v>Richtwert</v>
      </c>
      <c r="N32" s="525">
        <f>Eingabe_2!D55</f>
        <v>1</v>
      </c>
      <c r="O32" s="168"/>
      <c r="P32" s="170">
        <f t="shared" si="7"/>
        <v>0</v>
      </c>
      <c r="Q32" s="165">
        <f t="shared" si="7"/>
        <v>0</v>
      </c>
      <c r="R32" s="170" t="str">
        <f>IF(F32&gt;0,1200,"-")</f>
        <v>-</v>
      </c>
      <c r="S32" s="165" t="str">
        <f>IF(F32&gt;0,F32*8.75,"-")</f>
        <v>-</v>
      </c>
      <c r="T32" s="169">
        <f>Eingabe_2!D56</f>
        <v>0</v>
      </c>
      <c r="U32" s="168" t="str">
        <f>Eingabe_2!D57</f>
        <v>Richtwert</v>
      </c>
      <c r="V32" s="539"/>
      <c r="W32" s="191"/>
      <c r="AC32" s="89">
        <f t="shared" si="11"/>
        <v>0</v>
      </c>
      <c r="AD32" s="90">
        <f>IF(U32=T$4,T32,IF(OR(R32="-",S32="-"),0,R32+S32))</f>
        <v>0</v>
      </c>
      <c r="AE32" s="90"/>
      <c r="AF32" s="96"/>
    </row>
    <row r="33" spans="1:32" s="192" customFormat="1" ht="13.5" customHeight="1" x14ac:dyDescent="0.2">
      <c r="A33" s="467" t="s">
        <v>245</v>
      </c>
      <c r="B33" s="162"/>
      <c r="C33" s="126" t="s">
        <v>219</v>
      </c>
      <c r="D33" s="74">
        <f>Eingabe_2!D60</f>
        <v>0</v>
      </c>
      <c r="E33" s="74" t="s">
        <v>22</v>
      </c>
      <c r="F33" s="74">
        <f>Eingabe_2!D52</f>
        <v>0</v>
      </c>
      <c r="G33" s="126" t="s">
        <v>29</v>
      </c>
      <c r="H33" s="74"/>
      <c r="I33" s="74"/>
      <c r="J33" s="592"/>
      <c r="K33" s="165">
        <f>90967*D33^0.6109</f>
        <v>0</v>
      </c>
      <c r="L33" s="169">
        <f>Eingabe_2!D61</f>
        <v>0</v>
      </c>
      <c r="M33" s="168" t="str">
        <f>Eingabe_2!D62</f>
        <v>Richtwert</v>
      </c>
      <c r="N33" s="525">
        <f>Eingabe_2!D63</f>
        <v>1</v>
      </c>
      <c r="O33" s="168"/>
      <c r="P33" s="170">
        <f t="shared" si="7"/>
        <v>0</v>
      </c>
      <c r="Q33" s="165">
        <f t="shared" si="7"/>
        <v>0</v>
      </c>
      <c r="R33" s="170" t="str">
        <f>IF(D33&gt;0,1800,"-")</f>
        <v>-</v>
      </c>
      <c r="S33" s="165">
        <f>IF(AND(D33&gt;0,F33&gt;0),(F33+100)*1.75,0)</f>
        <v>0</v>
      </c>
      <c r="T33" s="169">
        <f>Eingabe_2!D64</f>
        <v>0</v>
      </c>
      <c r="U33" s="168" t="str">
        <f>Eingabe_2!D65</f>
        <v>Richtwert</v>
      </c>
      <c r="V33" s="539"/>
      <c r="W33" s="191"/>
      <c r="AC33" s="89">
        <f t="shared" si="11"/>
        <v>0</v>
      </c>
      <c r="AD33" s="90">
        <f>IF(U33=T$4,T33,IF(OR(R33="-",S33="-"),0,R33+S33))</f>
        <v>0</v>
      </c>
      <c r="AE33" s="90"/>
      <c r="AF33" s="96"/>
    </row>
    <row r="34" spans="1:32" s="192" customFormat="1" ht="13.5" customHeight="1" x14ac:dyDescent="0.2">
      <c r="A34" s="467" t="s">
        <v>245</v>
      </c>
      <c r="B34" s="162"/>
      <c r="C34" s="126"/>
      <c r="D34" s="74"/>
      <c r="E34" s="74"/>
      <c r="F34" s="74"/>
      <c r="G34" s="126"/>
      <c r="H34" s="74"/>
      <c r="I34" s="74"/>
      <c r="J34" s="165"/>
      <c r="K34" s="165"/>
      <c r="L34" s="193"/>
      <c r="M34" s="168">
        <f>AC34</f>
        <v>0</v>
      </c>
      <c r="N34" s="168"/>
      <c r="O34" s="168"/>
      <c r="P34" s="194">
        <f t="shared" si="7"/>
        <v>0</v>
      </c>
      <c r="Q34" s="165">
        <f t="shared" si="7"/>
        <v>0</v>
      </c>
      <c r="R34" s="170"/>
      <c r="S34" s="165"/>
      <c r="T34" s="193"/>
      <c r="U34" s="204">
        <f>AD34</f>
        <v>0</v>
      </c>
      <c r="V34" s="540"/>
      <c r="W34" s="191"/>
      <c r="AC34" s="89"/>
      <c r="AD34" s="90"/>
      <c r="AE34" s="90"/>
      <c r="AF34" s="96"/>
    </row>
    <row r="35" spans="1:32" s="192" customFormat="1" ht="13.5" customHeight="1" x14ac:dyDescent="0.2">
      <c r="A35" s="467" t="s">
        <v>245</v>
      </c>
      <c r="B35" s="176"/>
      <c r="C35" s="177" t="s">
        <v>26</v>
      </c>
      <c r="D35" s="178"/>
      <c r="E35" s="178"/>
      <c r="F35" s="178"/>
      <c r="G35" s="195"/>
      <c r="H35" s="178"/>
      <c r="I35" s="178"/>
      <c r="J35" s="151"/>
      <c r="K35" s="196">
        <f>SUM(K27:K34)</f>
        <v>0</v>
      </c>
      <c r="L35" s="196">
        <f>SUM(L27:L34)</f>
        <v>0</v>
      </c>
      <c r="M35" s="196">
        <f>AC35</f>
        <v>0</v>
      </c>
      <c r="N35" s="196"/>
      <c r="O35" s="196"/>
      <c r="P35" s="197">
        <f>SUM(P27:P34)</f>
        <v>0</v>
      </c>
      <c r="Q35" s="198">
        <f>SUM(Q27:Q34)</f>
        <v>0</v>
      </c>
      <c r="R35" s="199">
        <f>SUM(R27:R34)</f>
        <v>0</v>
      </c>
      <c r="S35" s="196">
        <f>SUM(S27:S34)</f>
        <v>0</v>
      </c>
      <c r="T35" s="196">
        <f>SUM(T27:T34)</f>
        <v>0</v>
      </c>
      <c r="U35" s="196">
        <f>AD35</f>
        <v>0</v>
      </c>
      <c r="V35" s="540"/>
      <c r="W35" s="191"/>
      <c r="AC35" s="490">
        <f>SUM(AC27:AC33)</f>
        <v>0</v>
      </c>
      <c r="AD35" s="491">
        <f>SUM(AD27:AD33)</f>
        <v>0</v>
      </c>
      <c r="AE35" s="491"/>
      <c r="AF35" s="96"/>
    </row>
    <row r="36" spans="1:32" s="192" customFormat="1" ht="13.5" customHeight="1" x14ac:dyDescent="0.2">
      <c r="A36" s="467" t="s">
        <v>158</v>
      </c>
      <c r="B36" s="162">
        <v>4</v>
      </c>
      <c r="C36" s="127" t="s">
        <v>167</v>
      </c>
      <c r="D36" s="74"/>
      <c r="E36" s="74"/>
      <c r="F36" s="74"/>
      <c r="G36" s="126"/>
      <c r="H36" s="74"/>
      <c r="I36" s="74"/>
      <c r="J36" s="165"/>
      <c r="K36" s="204"/>
      <c r="L36" s="204"/>
      <c r="M36" s="204"/>
      <c r="N36" s="204"/>
      <c r="O36" s="204"/>
      <c r="P36" s="187">
        <v>0.8</v>
      </c>
      <c r="Q36" s="188">
        <v>0.2</v>
      </c>
      <c r="R36" s="189" t="s">
        <v>189</v>
      </c>
      <c r="S36" s="330"/>
      <c r="T36" s="204"/>
      <c r="U36" s="204"/>
      <c r="V36" s="540"/>
      <c r="W36" s="191"/>
      <c r="AC36" s="93"/>
      <c r="AD36" s="94"/>
      <c r="AE36" s="94"/>
      <c r="AF36" s="96"/>
    </row>
    <row r="37" spans="1:32" s="192" customFormat="1" ht="13.5" customHeight="1" x14ac:dyDescent="0.2">
      <c r="A37" s="467" t="s">
        <v>158</v>
      </c>
      <c r="B37" s="162"/>
      <c r="C37" s="126" t="s">
        <v>172</v>
      </c>
      <c r="D37" s="74">
        <f>Eingabe_2!D69</f>
        <v>0</v>
      </c>
      <c r="E37" s="74" t="s">
        <v>169</v>
      </c>
      <c r="F37" s="74" t="str">
        <f>Eingabe_2!D68</f>
        <v>RÜB</v>
      </c>
      <c r="G37" s="126" t="str">
        <f>Eingabe_2!D70</f>
        <v>innerorts, geschlossen</v>
      </c>
      <c r="I37" s="74" t="str">
        <f>Eingabe_2!D71</f>
        <v>normal</v>
      </c>
      <c r="J37" s="165">
        <f>IF(D37=0,0,VLOOKUP(AF37,C113:F130,2,FALSE)*(D37^(VLOOKUP(AF37,C113:F130,3,FALSE)))*VLOOKUP(AF37,C113:F130,4,FALSE))</f>
        <v>0</v>
      </c>
      <c r="K37" s="165">
        <f>D37*J37</f>
        <v>0</v>
      </c>
      <c r="L37" s="169">
        <f>Eingabe_2!D72</f>
        <v>0</v>
      </c>
      <c r="M37" s="168" t="str">
        <f>Eingabe_2!D73</f>
        <v>Richtwert</v>
      </c>
      <c r="N37" s="525">
        <f>Eingabe_2!D74</f>
        <v>1</v>
      </c>
      <c r="O37" s="204"/>
      <c r="P37" s="170">
        <f>(IF($M37=$K$4,$K37,$L37)*P$36)</f>
        <v>0</v>
      </c>
      <c r="Q37" s="165">
        <f t="shared" ref="P37:Q39" si="14">(IF($M37=$K$4,$K37,$L37)*Q$36)</f>
        <v>0</v>
      </c>
      <c r="R37" s="170" t="str">
        <f>IF(D37&gt;0,1800,"-")</f>
        <v>-</v>
      </c>
      <c r="S37" s="204"/>
      <c r="T37" s="169">
        <f>Eingabe_2!D75</f>
        <v>0</v>
      </c>
      <c r="U37" s="168" t="str">
        <f>Eingabe_2!D76</f>
        <v>Richtwert</v>
      </c>
      <c r="V37" s="539"/>
      <c r="W37" s="191"/>
      <c r="AC37" s="89">
        <f>IF(M37=K$4,K37*N37,L37*N37)</f>
        <v>0</v>
      </c>
      <c r="AD37" s="90">
        <f>IF(U37=T$4,T37,IF(OR(R37="-",S37="-"),0,R37+S37))</f>
        <v>0</v>
      </c>
      <c r="AE37" s="90"/>
      <c r="AF37" s="91" t="str">
        <f>F37&amp;G37&amp;I37</f>
        <v>RÜBinnerorts, geschlossennormal</v>
      </c>
    </row>
    <row r="38" spans="1:32" s="192" customFormat="1" ht="13.5" customHeight="1" x14ac:dyDescent="0.2">
      <c r="A38" s="467" t="s">
        <v>158</v>
      </c>
      <c r="B38" s="162"/>
      <c r="C38" s="126" t="s">
        <v>173</v>
      </c>
      <c r="D38" s="74">
        <f>Eingabe_2!D80</f>
        <v>0</v>
      </c>
      <c r="E38" s="74" t="s">
        <v>169</v>
      </c>
      <c r="F38" s="74" t="str">
        <f>Eingabe_2!D79</f>
        <v>RÜB</v>
      </c>
      <c r="G38" s="126" t="str">
        <f>Eingabe_2!D81</f>
        <v>außerorts, offen</v>
      </c>
      <c r="H38" s="74"/>
      <c r="I38" s="74" t="str">
        <f>Eingabe_2!D82</f>
        <v>normal</v>
      </c>
      <c r="J38" s="165">
        <f>IF(D38=0,0,VLOOKUP(AF38,C113:F130,2,FALSE)*(D38^(VLOOKUP(AF38,C113:F130,3,FALSE)))*VLOOKUP(AF38,C113:F130,4,FALSE))</f>
        <v>0</v>
      </c>
      <c r="K38" s="165">
        <f>D38*J38</f>
        <v>0</v>
      </c>
      <c r="L38" s="169">
        <f>Eingabe_2!D83</f>
        <v>0</v>
      </c>
      <c r="M38" s="168" t="str">
        <f>Eingabe_2!D84</f>
        <v>Richtwert</v>
      </c>
      <c r="N38" s="525">
        <f>Eingabe_2!D85</f>
        <v>1</v>
      </c>
      <c r="O38" s="204"/>
      <c r="P38" s="170">
        <f t="shared" si="14"/>
        <v>0</v>
      </c>
      <c r="Q38" s="165">
        <f t="shared" si="14"/>
        <v>0</v>
      </c>
      <c r="R38" s="170" t="str">
        <f t="shared" ref="R38:R39" si="15">IF(D38&gt;0,1800,"-")</f>
        <v>-</v>
      </c>
      <c r="S38" s="204"/>
      <c r="T38" s="169">
        <f>Eingabe_2!D86</f>
        <v>0</v>
      </c>
      <c r="U38" s="168" t="str">
        <f>Eingabe_2!D87</f>
        <v>Richtwert</v>
      </c>
      <c r="V38" s="539"/>
      <c r="W38" s="191"/>
      <c r="AC38" s="89">
        <f t="shared" ref="AC38:AC39" si="16">IF(M38=K$4,K38*N38,L38*N38)</f>
        <v>0</v>
      </c>
      <c r="AD38" s="90">
        <f>IF(U38=T$4,T38,IF(OR(R38="-",S38="-"),0,R38+S38))</f>
        <v>0</v>
      </c>
      <c r="AE38" s="90"/>
      <c r="AF38" s="91" t="str">
        <f>F38&amp;G38&amp;I38</f>
        <v>RÜBaußerorts, offennormal</v>
      </c>
    </row>
    <row r="39" spans="1:32" s="192" customFormat="1" ht="13.5" customHeight="1" x14ac:dyDescent="0.2">
      <c r="A39" s="467" t="s">
        <v>158</v>
      </c>
      <c r="B39" s="162"/>
      <c r="C39" s="126" t="s">
        <v>174</v>
      </c>
      <c r="D39" s="74">
        <f>Eingabe_2!D91</f>
        <v>0</v>
      </c>
      <c r="E39" s="74" t="s">
        <v>169</v>
      </c>
      <c r="F39" s="74" t="str">
        <f>Eingabe_2!D90</f>
        <v>RÜB</v>
      </c>
      <c r="G39" s="126" t="str">
        <f>Eingabe_2!D92</f>
        <v>außerorts, offen</v>
      </c>
      <c r="H39" s="74"/>
      <c r="I39" s="74" t="str">
        <f>Eingabe_2!D93</f>
        <v>normal</v>
      </c>
      <c r="J39" s="165">
        <f>IF(D39=0,0,VLOOKUP(AF39,C113:F130,2,FALSE)*(D39^(VLOOKUP(AF39,C113:F130,3,FALSE)))*VLOOKUP(AF39,C113:F130,4,FALSE))</f>
        <v>0</v>
      </c>
      <c r="K39" s="165">
        <f>D39*J39</f>
        <v>0</v>
      </c>
      <c r="L39" s="169">
        <f>Eingabe_2!D94</f>
        <v>0</v>
      </c>
      <c r="M39" s="168" t="str">
        <f>Eingabe_2!D95</f>
        <v>Richtwert</v>
      </c>
      <c r="N39" s="525">
        <f>Eingabe_2!D96</f>
        <v>1</v>
      </c>
      <c r="O39" s="204"/>
      <c r="P39" s="170">
        <f t="shared" si="14"/>
        <v>0</v>
      </c>
      <c r="Q39" s="165">
        <f t="shared" si="14"/>
        <v>0</v>
      </c>
      <c r="R39" s="170" t="str">
        <f t="shared" si="15"/>
        <v>-</v>
      </c>
      <c r="S39" s="204"/>
      <c r="T39" s="169">
        <f>Eingabe_2!D97</f>
        <v>0</v>
      </c>
      <c r="U39" s="168" t="str">
        <f>Eingabe_2!D98</f>
        <v>Richtwert</v>
      </c>
      <c r="V39" s="539"/>
      <c r="W39" s="191"/>
      <c r="AC39" s="89">
        <f t="shared" si="16"/>
        <v>0</v>
      </c>
      <c r="AD39" s="90">
        <f>IF(U39=T$4,T39,IF(OR(R39="-",S39="-"),0,R39+S39))</f>
        <v>0</v>
      </c>
      <c r="AE39" s="90"/>
      <c r="AF39" s="91" t="str">
        <f>F39&amp;G39&amp;I39</f>
        <v>RÜBaußerorts, offennormal</v>
      </c>
    </row>
    <row r="40" spans="1:32" s="192" customFormat="1" ht="13.5" customHeight="1" x14ac:dyDescent="0.2">
      <c r="A40" s="467" t="s">
        <v>158</v>
      </c>
      <c r="B40" s="162"/>
      <c r="C40" s="126"/>
      <c r="D40" s="74"/>
      <c r="E40" s="74"/>
      <c r="F40" s="74"/>
      <c r="G40" s="126"/>
      <c r="H40" s="74"/>
      <c r="I40" s="74"/>
      <c r="J40" s="165"/>
      <c r="K40" s="204"/>
      <c r="L40" s="204"/>
      <c r="M40" s="204"/>
      <c r="N40" s="204"/>
      <c r="O40" s="204"/>
      <c r="P40" s="170"/>
      <c r="Q40" s="165"/>
      <c r="R40" s="324"/>
      <c r="S40" s="204"/>
      <c r="T40" s="204"/>
      <c r="U40" s="204"/>
      <c r="V40" s="540"/>
      <c r="W40" s="191"/>
      <c r="AC40" s="89"/>
      <c r="AD40" s="94"/>
      <c r="AE40" s="94"/>
      <c r="AF40" s="96"/>
    </row>
    <row r="41" spans="1:32" s="192" customFormat="1" ht="13.5" customHeight="1" x14ac:dyDescent="0.2">
      <c r="A41" s="467" t="s">
        <v>158</v>
      </c>
      <c r="B41" s="162"/>
      <c r="C41" s="177" t="s">
        <v>26</v>
      </c>
      <c r="D41" s="74"/>
      <c r="E41" s="74"/>
      <c r="F41" s="74"/>
      <c r="G41" s="126"/>
      <c r="H41" s="74"/>
      <c r="I41" s="74"/>
      <c r="J41" s="165"/>
      <c r="K41" s="196">
        <f>SUM(K37:K40)</f>
        <v>0</v>
      </c>
      <c r="L41" s="196">
        <f>SUM(L37:L40)</f>
        <v>0</v>
      </c>
      <c r="M41" s="196">
        <f>AC41</f>
        <v>0</v>
      </c>
      <c r="N41" s="204"/>
      <c r="O41" s="204"/>
      <c r="P41" s="197">
        <f>SUM(P37:P40)</f>
        <v>0</v>
      </c>
      <c r="Q41" s="198">
        <f>SUM(Q37:Q40)</f>
        <v>0</v>
      </c>
      <c r="R41" s="199">
        <f>SUM(R37:R40)</f>
        <v>0</v>
      </c>
      <c r="S41" s="196">
        <f>SUM(S37:S40)</f>
        <v>0</v>
      </c>
      <c r="T41" s="196">
        <f>SUM(T36:T40)</f>
        <v>0</v>
      </c>
      <c r="U41" s="196">
        <f>AD41</f>
        <v>0</v>
      </c>
      <c r="V41" s="540"/>
      <c r="W41" s="191"/>
      <c r="AC41" s="490">
        <f>SUM(AC37:AC40)</f>
        <v>0</v>
      </c>
      <c r="AD41" s="491">
        <f>SUM(AD37:AD40)</f>
        <v>0</v>
      </c>
      <c r="AE41" s="491"/>
      <c r="AF41" s="96"/>
    </row>
    <row r="42" spans="1:32" s="192" customFormat="1" ht="13.5" customHeight="1" thickBot="1" x14ac:dyDescent="0.25">
      <c r="A42" s="467" t="s">
        <v>63</v>
      </c>
      <c r="B42" s="152">
        <v>5</v>
      </c>
      <c r="C42" s="185" t="s">
        <v>28</v>
      </c>
      <c r="D42" s="153"/>
      <c r="E42" s="153"/>
      <c r="F42" s="153"/>
      <c r="G42" s="155"/>
      <c r="H42" s="325" t="str">
        <f>IF(G43=C102,"Ausbaugröße externe KA","")</f>
        <v/>
      </c>
      <c r="I42" s="153"/>
      <c r="J42" s="201"/>
      <c r="K42" s="201"/>
      <c r="L42" s="326"/>
      <c r="M42" s="201"/>
      <c r="N42" s="201"/>
      <c r="O42" s="201"/>
      <c r="P42" s="187">
        <v>0.7</v>
      </c>
      <c r="Q42" s="327">
        <v>0.3</v>
      </c>
      <c r="R42" s="158"/>
      <c r="S42" s="201"/>
      <c r="T42" s="326"/>
      <c r="U42" s="201"/>
      <c r="V42" s="542"/>
      <c r="AC42" s="95"/>
      <c r="AD42" s="90"/>
      <c r="AE42" s="90"/>
      <c r="AF42" s="96"/>
    </row>
    <row r="43" spans="1:32" s="192" customFormat="1" ht="13.5" customHeight="1" thickBot="1" x14ac:dyDescent="0.25">
      <c r="A43" s="467" t="s">
        <v>63</v>
      </c>
      <c r="B43" s="162"/>
      <c r="C43" s="126" t="s">
        <v>191</v>
      </c>
      <c r="D43" s="172">
        <f>Eingabe_2!D101</f>
        <v>0</v>
      </c>
      <c r="E43" s="74" t="s">
        <v>29</v>
      </c>
      <c r="F43" s="276"/>
      <c r="G43" s="276" t="str">
        <f>Eingabe_2!D102</f>
        <v>eigene KA</v>
      </c>
      <c r="H43" s="165">
        <f>Eingabe_2!D103</f>
        <v>0</v>
      </c>
      <c r="I43" s="74" t="str">
        <f>IF(G43=C102,"EW","")</f>
        <v/>
      </c>
      <c r="J43" s="596">
        <f t="shared" ref="J43:J44" si="17">IF(G43=C$102,11183*H43^-0.261*1.45,IF(D43&gt;0,11183*D43^-0.261*1.45,0))</f>
        <v>0</v>
      </c>
      <c r="K43" s="165">
        <f>J43*D43</f>
        <v>0</v>
      </c>
      <c r="L43" s="169">
        <f>Eingabe_2!D104</f>
        <v>0</v>
      </c>
      <c r="M43" s="168" t="str">
        <f>Eingabe_2!D105</f>
        <v>Richtwert</v>
      </c>
      <c r="N43" s="525">
        <f>Eingabe_2!D106</f>
        <v>1</v>
      </c>
      <c r="O43" s="168"/>
      <c r="P43" s="170">
        <f t="shared" ref="P43:Q48" si="18">(IF($M43=$K$4,$K43,$L43)*P$42)</f>
        <v>0</v>
      </c>
      <c r="Q43" s="165">
        <f t="shared" si="18"/>
        <v>0</v>
      </c>
      <c r="R43" s="608">
        <f>IF(G43=C$102,IF(H43&gt;10000,1.4*39.703*H43^-0.079,1.4*491*H43^-0.353),IF(D43&gt;0,IF(D43&gt;10000,1.4*39.703*D43^-0.079,1.4*491*D43^-0.353),0))</f>
        <v>0</v>
      </c>
      <c r="S43" s="165">
        <f>R43*D43</f>
        <v>0</v>
      </c>
      <c r="T43" s="169">
        <f>Eingabe_2!D107</f>
        <v>0</v>
      </c>
      <c r="U43" s="168" t="str">
        <f>Eingabe_2!D108</f>
        <v>Richtwert</v>
      </c>
      <c r="V43" s="539"/>
      <c r="AC43" s="89">
        <f>IF(M43=K$4,K43*N43,L43*N43)</f>
        <v>0</v>
      </c>
      <c r="AD43" s="90">
        <f t="shared" ref="AD43:AD45" si="19">IF(U43=$S$4,S43,T43)</f>
        <v>0</v>
      </c>
      <c r="AE43" s="90"/>
      <c r="AF43" s="96"/>
    </row>
    <row r="44" spans="1:32" s="192" customFormat="1" ht="13.5" customHeight="1" thickBot="1" x14ac:dyDescent="0.25">
      <c r="A44" s="467" t="s">
        <v>63</v>
      </c>
      <c r="B44" s="162"/>
      <c r="C44" s="126" t="s">
        <v>192</v>
      </c>
      <c r="D44" s="172">
        <f>Eingabe_2!D111</f>
        <v>0</v>
      </c>
      <c r="E44" s="74" t="s">
        <v>29</v>
      </c>
      <c r="F44" s="276"/>
      <c r="G44" s="276" t="str">
        <f>Eingabe_2!D112</f>
        <v>eigene KA</v>
      </c>
      <c r="H44" s="165">
        <f>Eingabe_2!D113</f>
        <v>0</v>
      </c>
      <c r="I44" s="74" t="str">
        <f>IF(G44=C102,"EW","")</f>
        <v/>
      </c>
      <c r="J44" s="596">
        <f t="shared" si="17"/>
        <v>0</v>
      </c>
      <c r="K44" s="165">
        <f>J44*D44</f>
        <v>0</v>
      </c>
      <c r="L44" s="169">
        <f>Eingabe_2!D114</f>
        <v>0</v>
      </c>
      <c r="M44" s="168" t="str">
        <f>Eingabe_2!D115</f>
        <v>Richtwert</v>
      </c>
      <c r="N44" s="525">
        <f>Eingabe_2!D116</f>
        <v>1</v>
      </c>
      <c r="O44" s="168"/>
      <c r="P44" s="170">
        <f t="shared" si="18"/>
        <v>0</v>
      </c>
      <c r="Q44" s="165">
        <f t="shared" si="18"/>
        <v>0</v>
      </c>
      <c r="R44" s="608">
        <f t="shared" ref="R44:R45" si="20">IF(G44=C$102,IF(H44&gt;10000,1.4*39.703*H44^-0.079,1.4*491*H44^-0.353),IF(D44&gt;0,IF(D44&gt;10000,1.4*39.703*D44^-0.079,1.4*491*D44^-0.353),0))</f>
        <v>0</v>
      </c>
      <c r="S44" s="165">
        <f>R44*D44</f>
        <v>0</v>
      </c>
      <c r="T44" s="169">
        <f>Eingabe_2!D117</f>
        <v>0</v>
      </c>
      <c r="U44" s="168" t="str">
        <f>Eingabe_2!D118</f>
        <v>Richtwert</v>
      </c>
      <c r="V44" s="539"/>
      <c r="AC44" s="89">
        <f t="shared" ref="AC44:AC48" si="21">IF(M44=K$4,K44*N44,L44*N44)</f>
        <v>0</v>
      </c>
      <c r="AD44" s="90">
        <f t="shared" si="19"/>
        <v>0</v>
      </c>
      <c r="AE44" s="90"/>
      <c r="AF44" s="96"/>
    </row>
    <row r="45" spans="1:32" s="192" customFormat="1" ht="13.5" customHeight="1" thickBot="1" x14ac:dyDescent="0.25">
      <c r="A45" s="467" t="s">
        <v>63</v>
      </c>
      <c r="B45" s="162"/>
      <c r="C45" s="126" t="s">
        <v>193</v>
      </c>
      <c r="D45" s="172">
        <f>Eingabe_2!D121</f>
        <v>0</v>
      </c>
      <c r="E45" s="74" t="s">
        <v>29</v>
      </c>
      <c r="F45" s="276"/>
      <c r="G45" s="276" t="str">
        <f>Eingabe_2!D122</f>
        <v>eigene KA</v>
      </c>
      <c r="H45" s="165">
        <f>Eingabe_2!D123</f>
        <v>0</v>
      </c>
      <c r="I45" s="74" t="str">
        <f>IF(G45=C102,"EW","")</f>
        <v/>
      </c>
      <c r="J45" s="596">
        <f>IF(G45=C$102,11183*H45^-0.261*1.45,IF(D45&gt;0,11183*D45^-0.261*1.45,0))</f>
        <v>0</v>
      </c>
      <c r="K45" s="165">
        <f>J45*D45</f>
        <v>0</v>
      </c>
      <c r="L45" s="169">
        <f>Eingabe_2!D124</f>
        <v>0</v>
      </c>
      <c r="M45" s="168" t="str">
        <f>Eingabe_2!D125</f>
        <v>Richtwert</v>
      </c>
      <c r="N45" s="525">
        <f>Eingabe_2!D126</f>
        <v>1</v>
      </c>
      <c r="O45" s="168"/>
      <c r="P45" s="170">
        <f t="shared" si="18"/>
        <v>0</v>
      </c>
      <c r="Q45" s="165">
        <f t="shared" si="18"/>
        <v>0</v>
      </c>
      <c r="R45" s="608">
        <f t="shared" si="20"/>
        <v>0</v>
      </c>
      <c r="S45" s="165">
        <f>R45*D45</f>
        <v>0</v>
      </c>
      <c r="T45" s="169">
        <f>Eingabe_2!D127</f>
        <v>0</v>
      </c>
      <c r="U45" s="168" t="str">
        <f>Eingabe_2!D128</f>
        <v>Richtwert</v>
      </c>
      <c r="V45" s="539"/>
      <c r="AC45" s="89">
        <f t="shared" si="21"/>
        <v>0</v>
      </c>
      <c r="AD45" s="90">
        <f t="shared" si="19"/>
        <v>0</v>
      </c>
      <c r="AE45" s="90"/>
      <c r="AF45" s="96"/>
    </row>
    <row r="46" spans="1:32" s="192" customFormat="1" ht="13.5" customHeight="1" x14ac:dyDescent="0.2">
      <c r="A46" s="467" t="s">
        <v>63</v>
      </c>
      <c r="B46" s="162"/>
      <c r="C46" s="420" t="s">
        <v>230</v>
      </c>
      <c r="D46" s="174">
        <f>Eingabe_2!D131</f>
        <v>0</v>
      </c>
      <c r="E46" s="74" t="s">
        <v>29</v>
      </c>
      <c r="F46" s="276"/>
      <c r="G46" s="276">
        <f>Eingabe_2!D132</f>
        <v>0</v>
      </c>
      <c r="H46" s="168" t="s">
        <v>128</v>
      </c>
      <c r="I46" s="74"/>
      <c r="J46" s="596">
        <f>IF(D46&gt;0,2802.7*D46^-0.244*1.48,0)</f>
        <v>0</v>
      </c>
      <c r="K46" s="165">
        <f>D46*J46*G46</f>
        <v>0</v>
      </c>
      <c r="L46" s="340">
        <f>Eingabe_2!D133*G46</f>
        <v>0</v>
      </c>
      <c r="M46" s="168" t="str">
        <f>Eingabe_2!D134</f>
        <v>Richtwert</v>
      </c>
      <c r="N46" s="525">
        <f>Eingabe_2!D135</f>
        <v>1</v>
      </c>
      <c r="O46" s="168"/>
      <c r="P46" s="170">
        <f t="shared" si="18"/>
        <v>0</v>
      </c>
      <c r="Q46" s="165">
        <f t="shared" si="18"/>
        <v>0</v>
      </c>
      <c r="R46" s="170">
        <f>IF(D46&gt;0,D46*186.89*D46^(-0.047),0)</f>
        <v>0</v>
      </c>
      <c r="S46" s="165">
        <f>R46*G46</f>
        <v>0</v>
      </c>
      <c r="T46" s="340">
        <f>Eingabe_2!D136*G46</f>
        <v>0</v>
      </c>
      <c r="U46" s="168" t="str">
        <f>Eingabe_2!D137</f>
        <v>Richtwert</v>
      </c>
      <c r="V46" s="539" t="str">
        <f>Eingabe_2!D138</f>
        <v>Dauerhaft</v>
      </c>
      <c r="AC46" s="89">
        <f t="shared" si="21"/>
        <v>0</v>
      </c>
      <c r="AD46" s="578">
        <f>IF(V46="Dauerhaft",IF((U46=$S$4),S46,T46),0)</f>
        <v>0</v>
      </c>
      <c r="AE46" s="578">
        <f>IF(V46="15 Jahre",IF((U46=$S$4),S46,T46),0)</f>
        <v>0</v>
      </c>
      <c r="AF46" s="96"/>
    </row>
    <row r="47" spans="1:32" s="192" customFormat="1" ht="13.5" customHeight="1" x14ac:dyDescent="0.2">
      <c r="A47" s="467" t="s">
        <v>63</v>
      </c>
      <c r="B47" s="162"/>
      <c r="C47" s="420" t="s">
        <v>231</v>
      </c>
      <c r="D47" s="174">
        <f>Eingabe_2!D140</f>
        <v>0</v>
      </c>
      <c r="E47" s="74" t="s">
        <v>29</v>
      </c>
      <c r="F47" s="276"/>
      <c r="G47" s="276">
        <f>Eingabe_2!D141</f>
        <v>0</v>
      </c>
      <c r="H47" s="168" t="s">
        <v>128</v>
      </c>
      <c r="I47" s="74"/>
      <c r="J47" s="596">
        <f t="shared" ref="J47:J48" si="22">IF(D47&gt;0,2802.7*D47^-0.244*1.48,0)</f>
        <v>0</v>
      </c>
      <c r="K47" s="165">
        <f>D47*J47*G47</f>
        <v>0</v>
      </c>
      <c r="L47" s="340">
        <f>Eingabe_2!D142*G47</f>
        <v>0</v>
      </c>
      <c r="M47" s="168" t="str">
        <f>Eingabe_2!D143</f>
        <v>Richtwert</v>
      </c>
      <c r="N47" s="525">
        <f>Eingabe_2!D144</f>
        <v>1</v>
      </c>
      <c r="O47" s="168"/>
      <c r="P47" s="170">
        <f t="shared" si="18"/>
        <v>0</v>
      </c>
      <c r="Q47" s="165">
        <f t="shared" si="18"/>
        <v>0</v>
      </c>
      <c r="R47" s="170">
        <f t="shared" ref="R47:R48" si="23">IF(D47&gt;0,D47*186.89*D47^(-0.047),0)</f>
        <v>0</v>
      </c>
      <c r="S47" s="165">
        <f>R47*G47</f>
        <v>0</v>
      </c>
      <c r="T47" s="340">
        <f>Eingabe_2!D145*G47</f>
        <v>0</v>
      </c>
      <c r="U47" s="168" t="str">
        <f>Eingabe_2!D146</f>
        <v>Richtwert</v>
      </c>
      <c r="V47" s="539" t="str">
        <f>Eingabe_2!D147</f>
        <v>Dauerhaft</v>
      </c>
      <c r="AC47" s="89">
        <f t="shared" si="21"/>
        <v>0</v>
      </c>
      <c r="AD47" s="578">
        <f t="shared" ref="AD47:AD48" si="24">IF(V47="Dauerhaft",IF((U47=$S$4),S47,T47),0)</f>
        <v>0</v>
      </c>
      <c r="AE47" s="578">
        <f t="shared" ref="AE47:AE48" si="25">IF(V47="15 Jahre",IF((U47=$S$4),S47,T47),0)</f>
        <v>0</v>
      </c>
      <c r="AF47" s="96"/>
    </row>
    <row r="48" spans="1:32" s="192" customFormat="1" ht="13.5" customHeight="1" x14ac:dyDescent="0.2">
      <c r="A48" s="467" t="s">
        <v>63</v>
      </c>
      <c r="B48" s="162"/>
      <c r="C48" s="420" t="s">
        <v>232</v>
      </c>
      <c r="D48" s="174">
        <f>Eingabe_2!D149</f>
        <v>0</v>
      </c>
      <c r="E48" s="74" t="s">
        <v>29</v>
      </c>
      <c r="F48" s="74"/>
      <c r="G48" s="276">
        <f>Eingabe_2!D150</f>
        <v>0</v>
      </c>
      <c r="H48" s="168" t="s">
        <v>128</v>
      </c>
      <c r="I48" s="74"/>
      <c r="J48" s="596">
        <f t="shared" si="22"/>
        <v>0</v>
      </c>
      <c r="K48" s="165">
        <f>D48*J48*G48</f>
        <v>0</v>
      </c>
      <c r="L48" s="340">
        <f>Eingabe_2!D151*G48</f>
        <v>0</v>
      </c>
      <c r="M48" s="168" t="str">
        <f>Eingabe_2!D152</f>
        <v>Richtwert</v>
      </c>
      <c r="N48" s="525">
        <f>Eingabe_2!D153</f>
        <v>1</v>
      </c>
      <c r="O48" s="168"/>
      <c r="P48" s="194">
        <f t="shared" si="18"/>
        <v>0</v>
      </c>
      <c r="Q48" s="165">
        <f t="shared" si="18"/>
        <v>0</v>
      </c>
      <c r="R48" s="170">
        <f t="shared" si="23"/>
        <v>0</v>
      </c>
      <c r="S48" s="165">
        <f>R48*G48</f>
        <v>0</v>
      </c>
      <c r="T48" s="340">
        <f>Eingabe_2!D154*G48</f>
        <v>0</v>
      </c>
      <c r="U48" s="168" t="str">
        <f>Eingabe_2!D155</f>
        <v>Richtwert</v>
      </c>
      <c r="V48" s="539" t="str">
        <f>Eingabe_2!D156</f>
        <v>Dauerhaft</v>
      </c>
      <c r="AC48" s="89">
        <f t="shared" si="21"/>
        <v>0</v>
      </c>
      <c r="AD48" s="578">
        <f t="shared" si="24"/>
        <v>0</v>
      </c>
      <c r="AE48" s="578">
        <f t="shared" si="25"/>
        <v>0</v>
      </c>
      <c r="AF48" s="96"/>
    </row>
    <row r="49" spans="1:32" s="192" customFormat="1" ht="13.5" customHeight="1" x14ac:dyDescent="0.2">
      <c r="A49" s="467" t="s">
        <v>63</v>
      </c>
      <c r="B49" s="162"/>
      <c r="C49" s="127" t="s">
        <v>265</v>
      </c>
      <c r="D49" s="74"/>
      <c r="E49" s="74"/>
      <c r="F49" s="74"/>
      <c r="G49" s="126"/>
      <c r="H49" s="74"/>
      <c r="I49" s="74"/>
      <c r="J49" s="165"/>
      <c r="K49" s="477">
        <f>SUM(K43:K48)</f>
        <v>0</v>
      </c>
      <c r="L49" s="478">
        <f>SUM(L43:L48)</f>
        <v>0</v>
      </c>
      <c r="M49" s="479">
        <f>AC49</f>
        <v>0</v>
      </c>
      <c r="N49" s="204"/>
      <c r="O49" s="204"/>
      <c r="P49" s="480">
        <f>SUM(P43:P48)</f>
        <v>0</v>
      </c>
      <c r="Q49" s="481">
        <f>SUM(Q43:Q48)</f>
        <v>0</v>
      </c>
      <c r="R49" s="170"/>
      <c r="S49" s="477">
        <f>SUM(S43:S45)+SUMIF(V46:V48,"Dauerhaft",S46:S48)</f>
        <v>0</v>
      </c>
      <c r="T49" s="478">
        <f>SUM(T43:T48)</f>
        <v>0</v>
      </c>
      <c r="U49" s="477">
        <f>AD49</f>
        <v>0</v>
      </c>
      <c r="V49" s="540"/>
      <c r="AC49" s="490">
        <f>SUM(AC43:AC48)</f>
        <v>0</v>
      </c>
      <c r="AD49" s="491">
        <f>SUM(AD43:AD48)</f>
        <v>0</v>
      </c>
      <c r="AE49" s="491"/>
      <c r="AF49" s="96"/>
    </row>
    <row r="50" spans="1:32" s="192" customFormat="1" ht="13.5" customHeight="1" x14ac:dyDescent="0.2">
      <c r="A50" s="467"/>
      <c r="B50" s="162"/>
      <c r="C50" s="558" t="s">
        <v>266</v>
      </c>
      <c r="D50" s="74"/>
      <c r="E50" s="74"/>
      <c r="F50" s="74"/>
      <c r="G50" s="126"/>
      <c r="H50" s="74"/>
      <c r="I50" s="74"/>
      <c r="J50" s="165"/>
      <c r="K50" s="204"/>
      <c r="L50" s="213"/>
      <c r="M50" s="204"/>
      <c r="N50" s="204"/>
      <c r="O50" s="204"/>
      <c r="P50" s="170"/>
      <c r="Q50" s="165"/>
      <c r="R50" s="170"/>
      <c r="S50" s="560">
        <f>SUMIF(V46:V48,"15 Jahre",S46:S48)</f>
        <v>0</v>
      </c>
      <c r="T50" s="560"/>
      <c r="U50" s="560">
        <f>AE50</f>
        <v>0</v>
      </c>
      <c r="V50" s="540"/>
      <c r="AC50" s="93"/>
      <c r="AD50" s="94"/>
      <c r="AE50" s="563">
        <f>SUM(AE46:AE48)</f>
        <v>0</v>
      </c>
      <c r="AF50" s="96"/>
    </row>
    <row r="51" spans="1:32" s="192" customFormat="1" ht="13.5" customHeight="1" x14ac:dyDescent="0.2">
      <c r="A51" s="467"/>
      <c r="B51" s="152">
        <v>6</v>
      </c>
      <c r="C51" s="185" t="s">
        <v>251</v>
      </c>
      <c r="D51" s="153"/>
      <c r="E51" s="153"/>
      <c r="F51" s="153"/>
      <c r="G51" s="155"/>
      <c r="H51" s="153"/>
      <c r="I51" s="153"/>
      <c r="J51" s="201"/>
      <c r="K51" s="375"/>
      <c r="L51" s="376"/>
      <c r="M51" s="375"/>
      <c r="N51" s="375"/>
      <c r="O51" s="377"/>
      <c r="P51" s="158"/>
      <c r="Q51" s="159"/>
      <c r="R51" s="158"/>
      <c r="S51" s="375"/>
      <c r="T51" s="376"/>
      <c r="U51" s="375"/>
      <c r="V51" s="540"/>
      <c r="AC51" s="93"/>
      <c r="AD51" s="94"/>
      <c r="AE51" s="94"/>
      <c r="AF51" s="96"/>
    </row>
    <row r="52" spans="1:32" s="464" customFormat="1" ht="13.5" customHeight="1" x14ac:dyDescent="0.2">
      <c r="A52" s="466"/>
      <c r="B52" s="483"/>
      <c r="C52" s="420" t="s">
        <v>248</v>
      </c>
      <c r="G52" s="420"/>
      <c r="J52" s="165"/>
      <c r="K52" s="165"/>
      <c r="L52" s="169">
        <f>Eingabe_2!D159</f>
        <v>0</v>
      </c>
      <c r="M52" s="165"/>
      <c r="N52" s="165"/>
      <c r="O52" s="173"/>
      <c r="P52" s="170"/>
      <c r="Q52" s="173"/>
      <c r="R52" s="170"/>
      <c r="S52" s="165"/>
      <c r="T52" s="186"/>
      <c r="U52" s="165"/>
      <c r="V52" s="542"/>
      <c r="AC52" s="89">
        <f t="shared" ref="AC52" si="26">IF(M52=K$4,K52,L52)</f>
        <v>0</v>
      </c>
      <c r="AD52" s="90">
        <f t="shared" ref="AD52" si="27">IF(U52=$S$4,S52,T52)</f>
        <v>0</v>
      </c>
      <c r="AE52" s="90"/>
      <c r="AF52" s="579"/>
    </row>
    <row r="53" spans="1:32" s="464" customFormat="1" ht="13.5" customHeight="1" x14ac:dyDescent="0.2">
      <c r="A53" s="466"/>
      <c r="B53" s="483"/>
      <c r="C53" s="420" t="s">
        <v>249</v>
      </c>
      <c r="G53" s="420"/>
      <c r="J53" s="165"/>
      <c r="K53" s="165"/>
      <c r="L53" s="169">
        <f>Eingabe_2!D160</f>
        <v>0</v>
      </c>
      <c r="M53" s="165"/>
      <c r="N53" s="165"/>
      <c r="O53" s="173"/>
      <c r="P53" s="170"/>
      <c r="Q53" s="173"/>
      <c r="R53" s="170"/>
      <c r="S53" s="165"/>
      <c r="T53" s="186"/>
      <c r="U53" s="165"/>
      <c r="V53" s="542"/>
      <c r="AC53" s="89">
        <f t="shared" ref="AC53:AC54" si="28">IF(M53=K$4,K53,L53)</f>
        <v>0</v>
      </c>
      <c r="AD53" s="90">
        <f t="shared" ref="AD53:AD54" si="29">IF(U53=$S$4,S53,T53)</f>
        <v>0</v>
      </c>
      <c r="AE53" s="90"/>
      <c r="AF53" s="579"/>
    </row>
    <row r="54" spans="1:32" s="464" customFormat="1" ht="13.5" customHeight="1" x14ac:dyDescent="0.2">
      <c r="A54" s="466"/>
      <c r="B54" s="483"/>
      <c r="C54" s="420" t="s">
        <v>250</v>
      </c>
      <c r="G54" s="420"/>
      <c r="J54" s="165"/>
      <c r="K54" s="165"/>
      <c r="L54" s="169">
        <f>Eingabe_2!D161</f>
        <v>0</v>
      </c>
      <c r="M54" s="165"/>
      <c r="N54" s="165"/>
      <c r="O54" s="173"/>
      <c r="P54" s="170"/>
      <c r="Q54" s="173"/>
      <c r="R54" s="170"/>
      <c r="S54" s="165"/>
      <c r="T54" s="186"/>
      <c r="U54" s="165"/>
      <c r="V54" s="542"/>
      <c r="AC54" s="89">
        <f t="shared" si="28"/>
        <v>0</v>
      </c>
      <c r="AD54" s="90">
        <f t="shared" si="29"/>
        <v>0</v>
      </c>
      <c r="AE54" s="90"/>
      <c r="AF54" s="579"/>
    </row>
    <row r="55" spans="1:32" s="464" customFormat="1" ht="13.5" customHeight="1" thickBot="1" x14ac:dyDescent="0.25">
      <c r="A55" s="466"/>
      <c r="B55" s="162"/>
      <c r="C55" s="127" t="s">
        <v>26</v>
      </c>
      <c r="D55" s="74"/>
      <c r="E55" s="74"/>
      <c r="F55" s="74"/>
      <c r="G55" s="126"/>
      <c r="H55" s="74"/>
      <c r="I55" s="74"/>
      <c r="J55" s="165"/>
      <c r="K55" s="477">
        <f>SUM(K52:K54)</f>
        <v>0</v>
      </c>
      <c r="L55" s="488">
        <f>SUM(L52:L54)</f>
        <v>0</v>
      </c>
      <c r="M55" s="489">
        <f>AC55</f>
        <v>0</v>
      </c>
      <c r="N55" s="204"/>
      <c r="O55" s="204"/>
      <c r="P55" s="480">
        <f>SUM(P48:P54)</f>
        <v>0</v>
      </c>
      <c r="Q55" s="481">
        <f>SUM(Q48:Q54)</f>
        <v>0</v>
      </c>
      <c r="R55" s="170"/>
      <c r="S55" s="482"/>
      <c r="T55" s="384"/>
      <c r="U55" s="489"/>
      <c r="V55" s="543"/>
      <c r="AC55" s="492">
        <f>SUM(AC52:AC54)</f>
        <v>0</v>
      </c>
      <c r="AD55" s="493">
        <f>SUM(AD52:AD54)</f>
        <v>0</v>
      </c>
      <c r="AE55" s="493"/>
      <c r="AF55" s="580"/>
    </row>
    <row r="56" spans="1:32" ht="13.5" customHeight="1" x14ac:dyDescent="0.2">
      <c r="B56" s="152"/>
      <c r="C56" s="155"/>
      <c r="D56" s="153"/>
      <c r="E56" s="153"/>
      <c r="F56" s="153"/>
      <c r="G56" s="155"/>
      <c r="H56" s="153"/>
      <c r="I56" s="153"/>
      <c r="J56" s="201"/>
      <c r="K56" s="201"/>
      <c r="L56" s="326"/>
      <c r="M56" s="201"/>
      <c r="N56" s="201"/>
      <c r="O56" s="201"/>
      <c r="P56" s="158"/>
      <c r="Q56" s="159"/>
      <c r="R56" s="201"/>
      <c r="S56" s="201"/>
      <c r="T56" s="326"/>
      <c r="U56" s="201"/>
      <c r="V56" s="554"/>
    </row>
    <row r="57" spans="1:32" ht="13.5" customHeight="1" x14ac:dyDescent="0.2">
      <c r="B57" s="162"/>
      <c r="C57" s="203" t="s">
        <v>30</v>
      </c>
      <c r="D57" s="174"/>
      <c r="G57" s="127"/>
      <c r="J57" s="165"/>
      <c r="K57" s="204">
        <f>K11+K25+K35+K41+K49</f>
        <v>0</v>
      </c>
      <c r="L57" s="205">
        <f>L11+L25+L35+L41+L49+L55</f>
        <v>0</v>
      </c>
      <c r="M57" s="204">
        <f>M11+M25+M35+M41+M49+M55</f>
        <v>0</v>
      </c>
      <c r="N57" s="204"/>
      <c r="O57" s="204"/>
      <c r="P57" s="206">
        <f>P11+P35+P41+P49</f>
        <v>0</v>
      </c>
      <c r="Q57" s="207">
        <f>Q11+Q35+Q41+Q49</f>
        <v>0</v>
      </c>
      <c r="R57" s="165"/>
      <c r="S57" s="204">
        <f>S11+S25+R35+S35+R41+S49</f>
        <v>0</v>
      </c>
      <c r="T57" s="205">
        <f>T11+T25+T35+T41+T49</f>
        <v>0</v>
      </c>
      <c r="U57" s="204">
        <f>U11+U25+U35+U41+U49</f>
        <v>0</v>
      </c>
      <c r="V57" s="540"/>
    </row>
    <row r="58" spans="1:32" ht="13.5" customHeight="1" x14ac:dyDescent="0.2">
      <c r="B58" s="162"/>
      <c r="C58" s="564" t="s">
        <v>267</v>
      </c>
      <c r="D58" s="174"/>
      <c r="G58" s="127"/>
      <c r="J58" s="165"/>
      <c r="K58" s="204"/>
      <c r="L58" s="213"/>
      <c r="M58" s="204"/>
      <c r="N58" s="204"/>
      <c r="O58" s="204"/>
      <c r="P58" s="206"/>
      <c r="Q58" s="207"/>
      <c r="R58" s="165"/>
      <c r="S58" s="204"/>
      <c r="T58" s="213"/>
      <c r="U58" s="560">
        <f>U50</f>
        <v>0</v>
      </c>
      <c r="V58" s="540"/>
    </row>
    <row r="59" spans="1:32" ht="13.5" customHeight="1" x14ac:dyDescent="0.2">
      <c r="B59" s="176"/>
      <c r="C59" s="208"/>
      <c r="D59" s="209"/>
      <c r="E59" s="178"/>
      <c r="F59" s="178"/>
      <c r="G59" s="177"/>
      <c r="H59" s="178"/>
      <c r="I59" s="178"/>
      <c r="J59" s="151"/>
      <c r="K59" s="182"/>
      <c r="L59" s="210"/>
      <c r="M59" s="182"/>
      <c r="N59" s="182"/>
      <c r="O59" s="182"/>
      <c r="P59" s="211"/>
      <c r="Q59" s="212"/>
      <c r="R59" s="151"/>
      <c r="S59" s="151"/>
      <c r="T59" s="210"/>
      <c r="U59" s="182"/>
      <c r="V59" s="543"/>
    </row>
    <row r="60" spans="1:32" ht="13.5" customHeight="1" x14ac:dyDescent="0.2">
      <c r="C60" s="203"/>
      <c r="D60" s="174"/>
      <c r="G60" s="127"/>
      <c r="J60" s="165"/>
      <c r="K60" s="204"/>
      <c r="L60" s="213"/>
      <c r="M60" s="204"/>
      <c r="N60" s="204"/>
      <c r="O60" s="204"/>
      <c r="P60" s="204"/>
      <c r="Q60" s="214"/>
      <c r="R60" s="165"/>
      <c r="S60" s="165"/>
      <c r="T60" s="165"/>
      <c r="U60" s="165"/>
      <c r="V60" s="544"/>
    </row>
    <row r="61" spans="1:32" ht="13.5" customHeight="1" x14ac:dyDescent="0.2">
      <c r="C61" s="203"/>
      <c r="D61" s="174"/>
      <c r="G61" s="127"/>
      <c r="J61" s="165"/>
      <c r="K61" s="204"/>
      <c r="L61" s="213"/>
      <c r="M61" s="204"/>
      <c r="N61" s="204"/>
      <c r="O61" s="204"/>
      <c r="P61" s="204"/>
      <c r="Q61" s="215"/>
      <c r="R61" s="165"/>
      <c r="S61" s="165"/>
      <c r="T61" s="165"/>
      <c r="U61" s="165"/>
      <c r="V61" s="544"/>
    </row>
    <row r="62" spans="1:32" ht="13.5" customHeight="1" thickBot="1" x14ac:dyDescent="0.25">
      <c r="C62" s="125" t="s">
        <v>31</v>
      </c>
      <c r="D62" s="216">
        <f>Eingabe_2!D166</f>
        <v>3</v>
      </c>
      <c r="E62" s="217" t="s">
        <v>10</v>
      </c>
      <c r="F62" s="218" t="s">
        <v>32</v>
      </c>
      <c r="H62" s="219"/>
      <c r="I62" s="219"/>
      <c r="K62" s="200"/>
      <c r="L62" s="220"/>
      <c r="M62" s="200"/>
      <c r="N62" s="200"/>
      <c r="O62" s="200"/>
      <c r="R62" s="221"/>
    </row>
    <row r="63" spans="1:32" ht="13.5" customHeight="1" x14ac:dyDescent="0.2">
      <c r="C63" s="74"/>
      <c r="D63" s="222">
        <f>Eingabe_2!D167</f>
        <v>2</v>
      </c>
      <c r="E63" s="217" t="s">
        <v>10</v>
      </c>
      <c r="F63" s="218" t="s">
        <v>33</v>
      </c>
      <c r="H63" s="219"/>
      <c r="I63" s="219"/>
      <c r="J63" s="74"/>
      <c r="K63" s="200"/>
      <c r="L63" s="220"/>
      <c r="M63" s="200"/>
      <c r="N63" s="200"/>
      <c r="O63" s="200"/>
    </row>
    <row r="64" spans="1:32" ht="13.5" customHeight="1" x14ac:dyDescent="0.2">
      <c r="C64" s="74"/>
      <c r="D64" s="222"/>
      <c r="E64" s="217"/>
      <c r="F64" s="217"/>
      <c r="G64" s="218"/>
      <c r="H64" s="219"/>
      <c r="I64" s="219"/>
      <c r="J64" s="223" t="s">
        <v>34</v>
      </c>
      <c r="K64" s="200"/>
      <c r="L64" s="220"/>
      <c r="M64" s="200"/>
      <c r="N64" s="200"/>
      <c r="O64" s="200"/>
      <c r="P64" s="224"/>
      <c r="W64" s="225" t="s">
        <v>35</v>
      </c>
    </row>
    <row r="65" spans="1:23" ht="13.5" customHeight="1" x14ac:dyDescent="0.2">
      <c r="B65" s="226"/>
      <c r="C65" s="227" t="s">
        <v>36</v>
      </c>
      <c r="D65" s="228"/>
      <c r="E65" s="228"/>
      <c r="F65" s="228"/>
      <c r="G65" s="227"/>
      <c r="H65" s="228"/>
      <c r="I65" s="228"/>
      <c r="J65" s="229"/>
      <c r="K65" s="230"/>
      <c r="L65" s="231"/>
      <c r="M65" s="231">
        <f>M57</f>
        <v>0</v>
      </c>
      <c r="N65" s="231"/>
      <c r="O65" s="231"/>
      <c r="P65" s="232"/>
      <c r="Q65" s="233"/>
      <c r="R65" s="230"/>
      <c r="S65" s="234"/>
      <c r="T65" s="235"/>
      <c r="U65" s="235"/>
      <c r="V65" s="545"/>
      <c r="W65" s="236">
        <f>M65</f>
        <v>0</v>
      </c>
    </row>
    <row r="66" spans="1:23" ht="13.5" customHeight="1" x14ac:dyDescent="0.2">
      <c r="B66" s="226"/>
      <c r="C66" s="237" t="s">
        <v>37</v>
      </c>
      <c r="D66" s="238">
        <v>12.5</v>
      </c>
      <c r="E66" s="239" t="s">
        <v>38</v>
      </c>
      <c r="F66" s="239"/>
      <c r="G66" s="227"/>
      <c r="H66" s="228"/>
      <c r="I66" s="228"/>
      <c r="J66" s="240">
        <f>1/(1+D62/100)^D66</f>
        <v>0.69109013106950024</v>
      </c>
      <c r="K66" s="241"/>
      <c r="L66" s="242"/>
      <c r="M66" s="231"/>
      <c r="N66" s="231"/>
      <c r="O66" s="231"/>
      <c r="P66" s="243"/>
      <c r="Q66" s="244">
        <f>Q57</f>
        <v>0</v>
      </c>
      <c r="R66" s="230"/>
      <c r="S66" s="234"/>
      <c r="T66" s="235"/>
      <c r="U66" s="235"/>
      <c r="V66" s="545"/>
      <c r="W66" s="244">
        <f>(P66+Q66)*J66</f>
        <v>0</v>
      </c>
    </row>
    <row r="67" spans="1:23" ht="13.5" customHeight="1" x14ac:dyDescent="0.2">
      <c r="B67" s="226"/>
      <c r="C67" s="237" t="s">
        <v>37</v>
      </c>
      <c r="D67" s="238">
        <v>26</v>
      </c>
      <c r="E67" s="239" t="s">
        <v>38</v>
      </c>
      <c r="F67" s="239"/>
      <c r="G67" s="227"/>
      <c r="H67" s="228"/>
      <c r="I67" s="228"/>
      <c r="J67" s="240">
        <f>1/(1+D62/100)^D67</f>
        <v>0.46369472743850448</v>
      </c>
      <c r="K67" s="231"/>
      <c r="L67" s="242"/>
      <c r="M67" s="231"/>
      <c r="N67" s="231"/>
      <c r="O67" s="231"/>
      <c r="P67" s="245">
        <f>P57</f>
        <v>0</v>
      </c>
      <c r="Q67" s="244">
        <f>Q57</f>
        <v>0</v>
      </c>
      <c r="R67" s="230"/>
      <c r="S67" s="234"/>
      <c r="T67" s="235"/>
      <c r="U67" s="235"/>
      <c r="V67" s="545"/>
      <c r="W67" s="244">
        <f>(P67+Q67)*J67</f>
        <v>0</v>
      </c>
    </row>
    <row r="68" spans="1:23" ht="13.5" customHeight="1" x14ac:dyDescent="0.2">
      <c r="B68" s="226"/>
      <c r="C68" s="237" t="s">
        <v>37</v>
      </c>
      <c r="D68" s="238">
        <v>37.5</v>
      </c>
      <c r="E68" s="239" t="s">
        <v>38</v>
      </c>
      <c r="F68" s="239"/>
      <c r="G68" s="227"/>
      <c r="H68" s="228"/>
      <c r="I68" s="228"/>
      <c r="J68" s="240">
        <f>1/(1+D62/100)^D68</f>
        <v>0.33006849546056333</v>
      </c>
      <c r="K68" s="235"/>
      <c r="L68" s="242"/>
      <c r="M68" s="235"/>
      <c r="N68" s="235"/>
      <c r="O68" s="235"/>
      <c r="P68" s="243"/>
      <c r="Q68" s="234">
        <f>Q57</f>
        <v>0</v>
      </c>
      <c r="R68" s="230"/>
      <c r="S68" s="159"/>
      <c r="T68" s="235"/>
      <c r="U68" s="235"/>
      <c r="V68" s="545"/>
      <c r="W68" s="244">
        <f>(P68+Q68)*J68</f>
        <v>0</v>
      </c>
    </row>
    <row r="69" spans="1:23" s="536" customFormat="1" ht="13.5" customHeight="1" x14ac:dyDescent="0.2">
      <c r="A69" s="582"/>
      <c r="B69" s="566"/>
      <c r="C69" s="567" t="s">
        <v>268</v>
      </c>
      <c r="D69" s="568">
        <v>15</v>
      </c>
      <c r="E69" s="569" t="s">
        <v>38</v>
      </c>
      <c r="F69" s="569"/>
      <c r="G69" s="570"/>
      <c r="H69" s="571"/>
      <c r="I69" s="571"/>
      <c r="J69" s="581">
        <f>IF(D$62=D$63,D69,(1+D$63/100)*(((1+D$62/100)^D69-(1+D$63/100)^D69)/((1+D$62/100)^D69*(D$62/100-D$63/100))))</f>
        <v>13.886109397216375</v>
      </c>
      <c r="K69" s="572"/>
      <c r="L69" s="573"/>
      <c r="M69" s="573"/>
      <c r="N69" s="573"/>
      <c r="O69" s="573"/>
      <c r="P69" s="574"/>
      <c r="Q69" s="545"/>
      <c r="R69" s="575"/>
      <c r="S69" s="554"/>
      <c r="T69" s="573"/>
      <c r="U69" s="573">
        <f>U58</f>
        <v>0</v>
      </c>
      <c r="V69" s="545"/>
      <c r="W69" s="545">
        <f>U69*J69</f>
        <v>0</v>
      </c>
    </row>
    <row r="70" spans="1:23" s="258" customFormat="1" ht="13.5" customHeight="1" x14ac:dyDescent="0.2">
      <c r="A70" s="466"/>
      <c r="B70" s="246"/>
      <c r="C70" s="247" t="s">
        <v>39</v>
      </c>
      <c r="D70" s="248">
        <v>25</v>
      </c>
      <c r="E70" s="249" t="s">
        <v>38</v>
      </c>
      <c r="F70" s="249"/>
      <c r="G70" s="250"/>
      <c r="H70" s="251"/>
      <c r="I70" s="251"/>
      <c r="J70" s="252">
        <f>IF(D$62=D$63,D70,(1+D$63/100)*(((1+D$62/100)^D70-(1+D$63/100)^D70)/((1+D$62/100)^D70*(D$62/100-D$63/100))))</f>
        <v>22.076618888117327</v>
      </c>
      <c r="K70" s="253"/>
      <c r="L70" s="254"/>
      <c r="M70" s="254"/>
      <c r="N70" s="254"/>
      <c r="O70" s="254"/>
      <c r="P70" s="255"/>
      <c r="Q70" s="256"/>
      <c r="R70" s="257"/>
      <c r="S70" s="256"/>
      <c r="T70" s="254"/>
      <c r="U70" s="254">
        <f>U57</f>
        <v>0</v>
      </c>
      <c r="V70" s="545"/>
      <c r="W70" s="256">
        <f>U70*J70</f>
        <v>0</v>
      </c>
    </row>
    <row r="71" spans="1:23" ht="13.5" customHeight="1" x14ac:dyDescent="0.2">
      <c r="B71" s="226"/>
      <c r="C71" s="259" t="s">
        <v>39</v>
      </c>
      <c r="D71" s="238">
        <v>50</v>
      </c>
      <c r="E71" s="239" t="s">
        <v>38</v>
      </c>
      <c r="F71" s="239"/>
      <c r="G71" s="227"/>
      <c r="H71" s="228"/>
      <c r="I71" s="228"/>
      <c r="J71" s="260">
        <f>IF(D$62=D$63,D71,(1+D$63/100)*(((1+D$62/100)^D71-(1+D$63/100)^D71)/((1+D$62/100)^D71*(D$62/100-D$63/100))))</f>
        <v>39.375030898477981</v>
      </c>
      <c r="K71" s="235"/>
      <c r="L71" s="242"/>
      <c r="M71" s="235"/>
      <c r="N71" s="235"/>
      <c r="O71" s="235"/>
      <c r="P71" s="243"/>
      <c r="Q71" s="234"/>
      <c r="R71" s="230"/>
      <c r="S71" s="233"/>
      <c r="T71" s="235"/>
      <c r="U71" s="235">
        <f>U57</f>
        <v>0</v>
      </c>
      <c r="V71" s="545"/>
      <c r="W71" s="234">
        <f>U71*J71</f>
        <v>0</v>
      </c>
    </row>
    <row r="72" spans="1:23" s="258" customFormat="1" ht="28.5" customHeight="1" x14ac:dyDescent="0.2">
      <c r="A72" s="466"/>
      <c r="B72" s="261"/>
      <c r="C72" s="262" t="s">
        <v>40</v>
      </c>
      <c r="D72" s="263">
        <v>25</v>
      </c>
      <c r="E72" s="264" t="s">
        <v>38</v>
      </c>
      <c r="F72" s="249"/>
      <c r="G72" s="250"/>
      <c r="H72" s="251"/>
      <c r="I72" s="251"/>
      <c r="J72" s="254"/>
      <c r="K72" s="254"/>
      <c r="L72" s="254"/>
      <c r="M72" s="254"/>
      <c r="N72" s="254"/>
      <c r="O72" s="254"/>
      <c r="P72" s="254"/>
      <c r="Q72" s="254"/>
      <c r="R72" s="251"/>
      <c r="S72" s="251"/>
      <c r="T72" s="251"/>
      <c r="U72" s="251"/>
      <c r="V72" s="545"/>
      <c r="W72" s="266">
        <f>W65+W66+W69+W70</f>
        <v>0</v>
      </c>
    </row>
    <row r="73" spans="1:23" ht="28.5" customHeight="1" x14ac:dyDescent="0.2">
      <c r="B73" s="267"/>
      <c r="C73" s="268" t="s">
        <v>40</v>
      </c>
      <c r="D73" s="269">
        <f>D71</f>
        <v>50</v>
      </c>
      <c r="E73" s="270" t="s">
        <v>38</v>
      </c>
      <c r="F73" s="239"/>
      <c r="G73" s="227"/>
      <c r="H73" s="228"/>
      <c r="I73" s="228"/>
      <c r="J73" s="235"/>
      <c r="K73" s="235"/>
      <c r="L73" s="242"/>
      <c r="M73" s="235"/>
      <c r="N73" s="235"/>
      <c r="O73" s="235"/>
      <c r="P73" s="235"/>
      <c r="Q73" s="235"/>
      <c r="R73" s="228"/>
      <c r="S73" s="228"/>
      <c r="T73" s="228"/>
      <c r="U73" s="228"/>
      <c r="V73" s="546"/>
      <c r="W73" s="271">
        <f>SUM(W65:W69)+W71</f>
        <v>0</v>
      </c>
    </row>
    <row r="74" spans="1:23" x14ac:dyDescent="0.2">
      <c r="J74" s="165"/>
      <c r="K74" s="165"/>
      <c r="L74" s="186"/>
      <c r="M74" s="165"/>
      <c r="N74" s="165"/>
      <c r="O74" s="165"/>
      <c r="P74" s="165"/>
      <c r="Q74" s="165"/>
      <c r="V74" s="586"/>
      <c r="W74" s="165"/>
    </row>
    <row r="75" spans="1:23" x14ac:dyDescent="0.2">
      <c r="J75" s="165"/>
      <c r="K75" s="165"/>
      <c r="L75" s="186"/>
      <c r="M75" s="165"/>
      <c r="N75" s="165"/>
      <c r="O75" s="165"/>
      <c r="P75" s="165"/>
      <c r="Q75" s="165"/>
      <c r="W75" s="165"/>
    </row>
    <row r="76" spans="1:23" x14ac:dyDescent="0.2">
      <c r="J76" s="165"/>
      <c r="K76" s="165"/>
      <c r="L76" s="186"/>
      <c r="M76" s="165"/>
      <c r="N76" s="165"/>
      <c r="O76" s="165"/>
      <c r="P76" s="165"/>
      <c r="Q76" s="165"/>
      <c r="W76" s="165"/>
    </row>
    <row r="77" spans="1:23" x14ac:dyDescent="0.2">
      <c r="J77" s="165"/>
      <c r="K77" s="165"/>
      <c r="L77" s="186"/>
      <c r="M77" s="165"/>
      <c r="N77" s="165"/>
      <c r="O77" s="165"/>
      <c r="P77" s="165"/>
      <c r="Q77" s="165"/>
      <c r="W77" s="165"/>
    </row>
    <row r="78" spans="1:23" x14ac:dyDescent="0.2">
      <c r="J78" s="165"/>
      <c r="K78" s="165"/>
      <c r="L78" s="186"/>
      <c r="M78" s="165"/>
      <c r="N78" s="165"/>
      <c r="O78" s="165"/>
      <c r="P78" s="165"/>
      <c r="Q78" s="165"/>
      <c r="W78" s="165"/>
    </row>
    <row r="79" spans="1:23" x14ac:dyDescent="0.2">
      <c r="J79" s="165"/>
      <c r="K79" s="165"/>
      <c r="L79" s="186"/>
      <c r="M79" s="165"/>
      <c r="N79" s="165"/>
      <c r="O79" s="165"/>
      <c r="P79" s="165"/>
      <c r="Q79" s="165"/>
      <c r="W79" s="165"/>
    </row>
    <row r="80" spans="1:23" x14ac:dyDescent="0.2">
      <c r="J80" s="165"/>
      <c r="K80" s="165"/>
      <c r="L80" s="186"/>
      <c r="M80" s="165"/>
      <c r="N80" s="165"/>
      <c r="O80" s="165"/>
      <c r="P80" s="165"/>
      <c r="Q80" s="165"/>
      <c r="W80" s="165"/>
    </row>
    <row r="81" spans="3:23" x14ac:dyDescent="0.2">
      <c r="J81" s="165"/>
      <c r="K81" s="165"/>
      <c r="L81" s="186"/>
      <c r="M81" s="165"/>
      <c r="N81" s="165"/>
      <c r="O81" s="165"/>
      <c r="P81" s="165"/>
      <c r="Q81" s="165"/>
      <c r="W81" s="165"/>
    </row>
    <row r="82" spans="3:23" x14ac:dyDescent="0.2">
      <c r="J82" s="165"/>
      <c r="K82" s="165"/>
      <c r="L82" s="186"/>
      <c r="M82" s="165"/>
      <c r="N82" s="165"/>
      <c r="O82" s="165"/>
      <c r="P82" s="165"/>
      <c r="Q82" s="165"/>
      <c r="W82" s="165"/>
    </row>
    <row r="83" spans="3:23" x14ac:dyDescent="0.2">
      <c r="J83" s="165"/>
      <c r="K83" s="165"/>
      <c r="L83" s="186"/>
      <c r="M83" s="165"/>
      <c r="N83" s="165"/>
      <c r="O83" s="165"/>
      <c r="P83" s="165"/>
      <c r="Q83" s="165"/>
      <c r="W83" s="165"/>
    </row>
    <row r="84" spans="3:23" x14ac:dyDescent="0.2">
      <c r="J84" s="165"/>
      <c r="K84" s="165"/>
      <c r="L84" s="186"/>
      <c r="M84" s="165"/>
      <c r="N84" s="165"/>
      <c r="O84" s="165"/>
      <c r="P84" s="165"/>
      <c r="Q84" s="165"/>
      <c r="W84" s="165"/>
    </row>
    <row r="85" spans="3:23" x14ac:dyDescent="0.2">
      <c r="J85" s="165"/>
      <c r="K85" s="165"/>
      <c r="L85" s="186"/>
      <c r="M85" s="165"/>
      <c r="N85" s="165"/>
      <c r="O85" s="165"/>
      <c r="P85" s="165"/>
      <c r="W85" s="165"/>
    </row>
    <row r="86" spans="3:23" x14ac:dyDescent="0.2">
      <c r="J86" s="165"/>
      <c r="K86" s="165"/>
      <c r="L86" s="186"/>
      <c r="M86" s="165"/>
      <c r="N86" s="165"/>
      <c r="O86" s="165"/>
      <c r="P86" s="165"/>
      <c r="Q86" s="165"/>
      <c r="W86" s="165"/>
    </row>
    <row r="88" spans="3:23" ht="13.5" thickBot="1" x14ac:dyDescent="0.25"/>
    <row r="89" spans="3:23" x14ac:dyDescent="0.2">
      <c r="C89" s="355" t="s">
        <v>146</v>
      </c>
      <c r="D89" s="356"/>
      <c r="E89" s="356"/>
      <c r="F89" s="357"/>
    </row>
    <row r="90" spans="3:23" x14ac:dyDescent="0.2">
      <c r="C90" s="358"/>
      <c r="F90" s="359"/>
    </row>
    <row r="91" spans="3:23" x14ac:dyDescent="0.2">
      <c r="C91" s="358" t="s">
        <v>59</v>
      </c>
      <c r="F91" s="359"/>
    </row>
    <row r="92" spans="3:23" x14ac:dyDescent="0.2">
      <c r="C92" s="358" t="s">
        <v>60</v>
      </c>
      <c r="F92" s="359"/>
    </row>
    <row r="93" spans="3:23" x14ac:dyDescent="0.2">
      <c r="C93" s="358"/>
      <c r="F93" s="359"/>
    </row>
    <row r="94" spans="3:23" ht="14.25" x14ac:dyDescent="0.2">
      <c r="C94" s="360" t="s">
        <v>56</v>
      </c>
      <c r="F94" s="359"/>
    </row>
    <row r="95" spans="3:23" ht="14.25" x14ac:dyDescent="0.2">
      <c r="C95" s="360" t="s">
        <v>57</v>
      </c>
      <c r="F95" s="359"/>
    </row>
    <row r="96" spans="3:23" ht="14.25" x14ac:dyDescent="0.2">
      <c r="C96" s="360" t="s">
        <v>58</v>
      </c>
      <c r="F96" s="359"/>
    </row>
    <row r="97" spans="3:7" x14ac:dyDescent="0.2">
      <c r="C97" s="358"/>
      <c r="F97" s="359"/>
    </row>
    <row r="98" spans="3:7" x14ac:dyDescent="0.2">
      <c r="C98" s="361" t="s">
        <v>64</v>
      </c>
      <c r="F98" s="359"/>
    </row>
    <row r="99" spans="3:7" x14ac:dyDescent="0.2">
      <c r="C99" s="361" t="s">
        <v>68</v>
      </c>
      <c r="F99" s="359"/>
    </row>
    <row r="100" spans="3:7" x14ac:dyDescent="0.2">
      <c r="C100" s="358"/>
      <c r="F100" s="359"/>
    </row>
    <row r="101" spans="3:7" x14ac:dyDescent="0.2">
      <c r="C101" s="358" t="s">
        <v>74</v>
      </c>
      <c r="F101" s="359"/>
    </row>
    <row r="102" spans="3:7" x14ac:dyDescent="0.2">
      <c r="C102" s="358" t="s">
        <v>75</v>
      </c>
      <c r="F102" s="359"/>
    </row>
    <row r="103" spans="3:7" x14ac:dyDescent="0.2">
      <c r="C103" s="358"/>
      <c r="F103" s="359"/>
    </row>
    <row r="104" spans="3:7" x14ac:dyDescent="0.2">
      <c r="C104" s="358"/>
      <c r="F104" s="359"/>
    </row>
    <row r="105" spans="3:7" x14ac:dyDescent="0.2">
      <c r="C105" s="358" t="s">
        <v>65</v>
      </c>
      <c r="D105" s="83">
        <v>2.8643000000000001</v>
      </c>
      <c r="E105" s="74">
        <v>588.42999999999995</v>
      </c>
      <c r="F105" s="359"/>
      <c r="G105" s="591" t="s">
        <v>292</v>
      </c>
    </row>
    <row r="106" spans="3:7" x14ac:dyDescent="0.2">
      <c r="C106" s="358" t="s">
        <v>66</v>
      </c>
      <c r="D106" s="83">
        <v>1.5461</v>
      </c>
      <c r="E106" s="74">
        <v>287.11</v>
      </c>
      <c r="F106" s="359"/>
      <c r="G106" s="591" t="s">
        <v>292</v>
      </c>
    </row>
    <row r="107" spans="3:7" x14ac:dyDescent="0.2">
      <c r="C107" s="358" t="s">
        <v>67</v>
      </c>
      <c r="D107" s="83">
        <v>2.1246999999999998</v>
      </c>
      <c r="E107" s="74">
        <v>375.99</v>
      </c>
      <c r="F107" s="359"/>
      <c r="G107" s="591" t="s">
        <v>292</v>
      </c>
    </row>
    <row r="108" spans="3:7" x14ac:dyDescent="0.2">
      <c r="C108" s="358" t="s">
        <v>69</v>
      </c>
      <c r="D108" s="83">
        <v>1.3994</v>
      </c>
      <c r="E108" s="74">
        <v>200.14</v>
      </c>
      <c r="F108" s="359"/>
      <c r="G108" s="591" t="s">
        <v>292</v>
      </c>
    </row>
    <row r="109" spans="3:7" x14ac:dyDescent="0.2">
      <c r="C109" s="362" t="s">
        <v>70</v>
      </c>
      <c r="D109" s="83">
        <v>3.0999999999999999E-3</v>
      </c>
      <c r="E109" s="84">
        <v>0.109</v>
      </c>
      <c r="F109" s="359">
        <v>381.5</v>
      </c>
      <c r="G109" s="591" t="s">
        <v>292</v>
      </c>
    </row>
    <row r="110" spans="3:7" x14ac:dyDescent="0.2">
      <c r="C110" s="362" t="s">
        <v>72</v>
      </c>
      <c r="D110" s="83">
        <v>1.9E-3</v>
      </c>
      <c r="E110" s="84">
        <v>0.22600000000000001</v>
      </c>
      <c r="F110" s="359">
        <v>282.5</v>
      </c>
      <c r="G110" s="591" t="s">
        <v>292</v>
      </c>
    </row>
    <row r="111" spans="3:7" x14ac:dyDescent="0.2">
      <c r="C111" s="362" t="s">
        <v>71</v>
      </c>
      <c r="D111" s="83">
        <v>1.4E-3</v>
      </c>
      <c r="E111" s="84">
        <v>0.35099999999999998</v>
      </c>
      <c r="F111" s="359">
        <v>175.5</v>
      </c>
      <c r="G111" s="591" t="s">
        <v>292</v>
      </c>
    </row>
    <row r="112" spans="3:7" x14ac:dyDescent="0.2">
      <c r="C112" s="358"/>
      <c r="F112" s="359"/>
      <c r="G112" s="591"/>
    </row>
    <row r="113" spans="3:7" x14ac:dyDescent="0.2">
      <c r="C113" s="358" t="s">
        <v>176</v>
      </c>
      <c r="D113" s="74">
        <v>58509</v>
      </c>
      <c r="E113" s="353">
        <v>-0.45400000000000001</v>
      </c>
      <c r="F113" s="363">
        <v>1</v>
      </c>
      <c r="G113" s="591" t="s">
        <v>292</v>
      </c>
    </row>
    <row r="114" spans="3:7" x14ac:dyDescent="0.2">
      <c r="C114" s="358" t="s">
        <v>175</v>
      </c>
      <c r="D114" s="74">
        <v>45507</v>
      </c>
      <c r="E114" s="353">
        <v>-0.45400000000000001</v>
      </c>
      <c r="F114" s="363">
        <v>1</v>
      </c>
      <c r="G114" s="591" t="s">
        <v>292</v>
      </c>
    </row>
    <row r="115" spans="3:7" x14ac:dyDescent="0.2">
      <c r="C115" s="358" t="s">
        <v>178</v>
      </c>
      <c r="D115" s="74">
        <v>39006</v>
      </c>
      <c r="E115" s="353">
        <v>-0.45400000000000001</v>
      </c>
      <c r="F115" s="363">
        <v>1</v>
      </c>
      <c r="G115" s="591" t="s">
        <v>292</v>
      </c>
    </row>
    <row r="116" spans="3:7" x14ac:dyDescent="0.2">
      <c r="C116" s="358" t="s">
        <v>177</v>
      </c>
      <c r="D116" s="74">
        <v>30338</v>
      </c>
      <c r="E116" s="353">
        <v>-0.45400000000000001</v>
      </c>
      <c r="F116" s="363">
        <v>1</v>
      </c>
      <c r="G116" s="591" t="s">
        <v>292</v>
      </c>
    </row>
    <row r="117" spans="3:7" x14ac:dyDescent="0.2">
      <c r="C117" s="423" t="s">
        <v>242</v>
      </c>
      <c r="D117" s="74">
        <v>39006</v>
      </c>
      <c r="E117" s="353">
        <v>-0.45400000000000001</v>
      </c>
      <c r="F117" s="363">
        <v>1</v>
      </c>
      <c r="G117" s="591" t="s">
        <v>292</v>
      </c>
    </row>
    <row r="118" spans="3:7" x14ac:dyDescent="0.2">
      <c r="C118" s="423" t="s">
        <v>241</v>
      </c>
      <c r="D118" s="74">
        <v>30338</v>
      </c>
      <c r="E118" s="353">
        <v>-0.45400000000000001</v>
      </c>
      <c r="F118" s="363">
        <v>1</v>
      </c>
      <c r="G118" s="591" t="s">
        <v>292</v>
      </c>
    </row>
    <row r="119" spans="3:7" x14ac:dyDescent="0.2">
      <c r="C119" s="364" t="s">
        <v>185</v>
      </c>
      <c r="D119" s="328">
        <v>58509</v>
      </c>
      <c r="E119" s="354">
        <v>-0.45400000000000001</v>
      </c>
      <c r="F119" s="365">
        <v>1</v>
      </c>
      <c r="G119" s="591" t="s">
        <v>292</v>
      </c>
    </row>
    <row r="120" spans="3:7" x14ac:dyDescent="0.2">
      <c r="C120" s="364" t="s">
        <v>186</v>
      </c>
      <c r="D120" s="328">
        <v>45507</v>
      </c>
      <c r="E120" s="354">
        <v>-0.45400000000000001</v>
      </c>
      <c r="F120" s="365">
        <v>1</v>
      </c>
      <c r="G120" s="591" t="s">
        <v>292</v>
      </c>
    </row>
    <row r="121" spans="3:7" x14ac:dyDescent="0.2">
      <c r="C121" s="364" t="s">
        <v>187</v>
      </c>
      <c r="D121" s="328">
        <v>39006</v>
      </c>
      <c r="E121" s="354">
        <v>-0.45400000000000001</v>
      </c>
      <c r="F121" s="365">
        <v>1</v>
      </c>
      <c r="G121" s="591" t="s">
        <v>292</v>
      </c>
    </row>
    <row r="122" spans="3:7" x14ac:dyDescent="0.2">
      <c r="C122" s="364" t="s">
        <v>188</v>
      </c>
      <c r="D122" s="328">
        <v>30338</v>
      </c>
      <c r="E122" s="354">
        <v>-0.45400000000000001</v>
      </c>
      <c r="F122" s="365">
        <v>1</v>
      </c>
      <c r="G122" s="591" t="s">
        <v>292</v>
      </c>
    </row>
    <row r="123" spans="3:7" x14ac:dyDescent="0.2">
      <c r="C123" s="422" t="s">
        <v>239</v>
      </c>
      <c r="D123" s="328">
        <v>11791</v>
      </c>
      <c r="E123" s="354">
        <v>-0.46300000000000002</v>
      </c>
      <c r="F123" s="365">
        <v>1.5</v>
      </c>
      <c r="G123" s="591" t="s">
        <v>292</v>
      </c>
    </row>
    <row r="124" spans="3:7" x14ac:dyDescent="0.2">
      <c r="C124" s="422" t="s">
        <v>240</v>
      </c>
      <c r="D124" s="328">
        <v>11791</v>
      </c>
      <c r="E124" s="354">
        <v>-0.46300000000000002</v>
      </c>
      <c r="F124" s="365">
        <v>1</v>
      </c>
      <c r="G124" s="591" t="s">
        <v>292</v>
      </c>
    </row>
    <row r="125" spans="3:7" x14ac:dyDescent="0.2">
      <c r="C125" s="423" t="s">
        <v>180</v>
      </c>
      <c r="D125" s="74">
        <v>58509</v>
      </c>
      <c r="E125" s="353">
        <v>-0.45400000000000001</v>
      </c>
      <c r="F125" s="363">
        <v>0.8</v>
      </c>
      <c r="G125" s="591" t="s">
        <v>292</v>
      </c>
    </row>
    <row r="126" spans="3:7" x14ac:dyDescent="0.2">
      <c r="C126" s="358" t="s">
        <v>179</v>
      </c>
      <c r="D126" s="74">
        <v>45507</v>
      </c>
      <c r="E126" s="353">
        <v>-0.45400000000000001</v>
      </c>
      <c r="F126" s="363">
        <v>0.8</v>
      </c>
      <c r="G126" s="591" t="s">
        <v>292</v>
      </c>
    </row>
    <row r="127" spans="3:7" x14ac:dyDescent="0.2">
      <c r="C127" s="358" t="s">
        <v>182</v>
      </c>
      <c r="D127" s="74">
        <v>39006</v>
      </c>
      <c r="E127" s="353">
        <v>-0.45400000000000001</v>
      </c>
      <c r="F127" s="363">
        <v>0.8</v>
      </c>
      <c r="G127" s="591" t="s">
        <v>292</v>
      </c>
    </row>
    <row r="128" spans="3:7" x14ac:dyDescent="0.2">
      <c r="C128" s="423" t="s">
        <v>181</v>
      </c>
      <c r="D128" s="74">
        <v>30338</v>
      </c>
      <c r="E128" s="353">
        <v>-0.45400000000000001</v>
      </c>
      <c r="F128" s="363">
        <v>0.8</v>
      </c>
      <c r="G128" s="591" t="s">
        <v>292</v>
      </c>
    </row>
    <row r="129" spans="3:7" x14ac:dyDescent="0.2">
      <c r="C129" s="424" t="s">
        <v>237</v>
      </c>
      <c r="D129" s="74">
        <v>11791</v>
      </c>
      <c r="E129" s="353">
        <v>-0.46300000000000002</v>
      </c>
      <c r="F129" s="363">
        <v>1.8</v>
      </c>
      <c r="G129" s="591" t="s">
        <v>292</v>
      </c>
    </row>
    <row r="130" spans="3:7" ht="13.5" thickBot="1" x14ac:dyDescent="0.25">
      <c r="C130" s="421" t="s">
        <v>238</v>
      </c>
      <c r="D130" s="366">
        <v>11791</v>
      </c>
      <c r="E130" s="367">
        <v>-0.46300000000000002</v>
      </c>
      <c r="F130" s="368">
        <v>1.2</v>
      </c>
      <c r="G130" s="591" t="s">
        <v>292</v>
      </c>
    </row>
    <row r="132" spans="3:7" x14ac:dyDescent="0.2">
      <c r="C132" s="612" t="s">
        <v>293</v>
      </c>
      <c r="D132" s="611">
        <f>SUM(D105:D130)</f>
        <v>636595.94090000005</v>
      </c>
      <c r="E132" s="611">
        <f t="shared" ref="E132:F132" si="30">SUM(E105:E130)</f>
        <v>1444.148000000001</v>
      </c>
      <c r="F132" s="611">
        <f t="shared" si="30"/>
        <v>858.19999999999982</v>
      </c>
    </row>
  </sheetData>
  <sheetProtection algorithmName="SHA-512" hashValue="gDmd99jgTodUVjwKrdXe/41oahape2W1uskZjHy3BuwJZCax8zM1FFNd6ZBXQAVqdrJIDYs/IKImTHZ8l1XfOg==" saltValue="moKZ1bIJ2YnXnJEZeIN9gw==" spinCount="100000" sheet="1" objects="1" scenarios="1"/>
  <autoFilter ref="A3:AF130" xr:uid="{00000000-0009-0000-0000-000005000000}"/>
  <dataConsolidate/>
  <phoneticPr fontId="12" type="noConversion"/>
  <conditionalFormatting sqref="M7:N9">
    <cfRule type="containsText" dxfId="102" priority="41" operator="containsText" text="tatsächl.">
      <formula>NOT(ISERROR(SEARCH("tatsächl.",M7)))</formula>
    </cfRule>
    <cfRule type="containsText" dxfId="101" priority="42" operator="containsText" text="Richtwert">
      <formula>NOT(ISERROR(SEARCH("Richtwert",M7)))</formula>
    </cfRule>
  </conditionalFormatting>
  <conditionalFormatting sqref="M13:N24">
    <cfRule type="containsText" dxfId="100" priority="39" operator="containsText" text="tatsächl.">
      <formula>NOT(ISERROR(SEARCH("tatsächl.",M13)))</formula>
    </cfRule>
    <cfRule type="containsText" dxfId="99" priority="40" operator="containsText" text="Richtwert">
      <formula>NOT(ISERROR(SEARCH("Richtwert",M13)))</formula>
    </cfRule>
  </conditionalFormatting>
  <conditionalFormatting sqref="M27:N33">
    <cfRule type="containsText" dxfId="98" priority="15" operator="containsText" text="tatsächl.">
      <formula>NOT(ISERROR(SEARCH("tatsächl.",M27)))</formula>
    </cfRule>
    <cfRule type="containsText" dxfId="97" priority="16" operator="containsText" text="Richtwert">
      <formula>NOT(ISERROR(SEARCH("Richtwert",M27)))</formula>
    </cfRule>
  </conditionalFormatting>
  <conditionalFormatting sqref="M37:N39">
    <cfRule type="containsText" dxfId="96" priority="13" operator="containsText" text="tatsächl.">
      <formula>NOT(ISERROR(SEARCH("tatsächl.",M37)))</formula>
    </cfRule>
    <cfRule type="containsText" dxfId="95" priority="14" operator="containsText" text="Richtwert">
      <formula>NOT(ISERROR(SEARCH("Richtwert",M37)))</formula>
    </cfRule>
  </conditionalFormatting>
  <conditionalFormatting sqref="M43:N48">
    <cfRule type="containsText" dxfId="94" priority="11" operator="containsText" text="tatsächl.">
      <formula>NOT(ISERROR(SEARCH("tatsächl.",M43)))</formula>
    </cfRule>
    <cfRule type="containsText" dxfId="93" priority="12" operator="containsText" text="Richtwert">
      <formula>NOT(ISERROR(SEARCH("Richtwert",M43)))</formula>
    </cfRule>
  </conditionalFormatting>
  <conditionalFormatting sqref="U8:V9">
    <cfRule type="containsText" dxfId="92" priority="9" operator="containsText" text="tatsächl.">
      <formula>NOT(ISERROR(SEARCH("tatsächl.",U8)))</formula>
    </cfRule>
    <cfRule type="containsText" dxfId="91" priority="10" operator="containsText" text="Richtwert">
      <formula>NOT(ISERROR(SEARCH("Richtwert",U8)))</formula>
    </cfRule>
  </conditionalFormatting>
  <conditionalFormatting sqref="U13:V24">
    <cfRule type="containsText" dxfId="90" priority="7" operator="containsText" text="tatsächl.">
      <formula>NOT(ISERROR(SEARCH("tatsächl.",U13)))</formula>
    </cfRule>
    <cfRule type="containsText" dxfId="89" priority="8" operator="containsText" text="Richtwert">
      <formula>NOT(ISERROR(SEARCH("Richtwert",U13)))</formula>
    </cfRule>
  </conditionalFormatting>
  <conditionalFormatting sqref="U27:V33">
    <cfRule type="containsText" dxfId="88" priority="5" operator="containsText" text="tatsächl.">
      <formula>NOT(ISERROR(SEARCH("tatsächl.",U27)))</formula>
    </cfRule>
    <cfRule type="containsText" dxfId="87" priority="6" operator="containsText" text="Richtwert">
      <formula>NOT(ISERROR(SEARCH("Richtwert",U27)))</formula>
    </cfRule>
  </conditionalFormatting>
  <conditionalFormatting sqref="U37:V39">
    <cfRule type="containsText" dxfId="86" priority="3" operator="containsText" text="tatsächl.">
      <formula>NOT(ISERROR(SEARCH("tatsächl.",U37)))</formula>
    </cfRule>
    <cfRule type="containsText" dxfId="85" priority="4" operator="containsText" text="Richtwert">
      <formula>NOT(ISERROR(SEARCH("Richtwert",U37)))</formula>
    </cfRule>
  </conditionalFormatting>
  <conditionalFormatting sqref="U43:V48">
    <cfRule type="containsText" dxfId="84" priority="1" operator="containsText" text="tatsächl.">
      <formula>NOT(ISERROR(SEARCH("tatsächl.",U43)))</formula>
    </cfRule>
    <cfRule type="containsText" dxfId="83" priority="2" operator="containsText" text="Richtwert">
      <formula>NOT(ISERROR(SEARCH("Richtwert",U43)))</formula>
    </cfRule>
  </conditionalFormatting>
  <dataValidations count="4">
    <dataValidation type="custom" allowBlank="1" showInputMessage="1" showErrorMessage="1" errorTitle="Tiel" sqref="AF13:AF24" xr:uid="{00000000-0002-0000-0500-000000000000}">
      <formula1>IF(AND(G13="Freispiegel",H13="Straße ländlich"),"",0)</formula1>
    </dataValidation>
    <dataValidation allowBlank="1" showInputMessage="1" showErrorMessage="1" errorTitle="Meldungs-Test" error="Achtung achtung" sqref="J22:J24" xr:uid="{00000000-0002-0000-0500-000001000000}"/>
    <dataValidation type="whole" operator="greaterThan" allowBlank="1" showInputMessage="1" showErrorMessage="1" errorTitle="titel" error="meldung" sqref="J13:J21" xr:uid="{00000000-0002-0000-0500-000002000000}">
      <formula1>0</formula1>
    </dataValidation>
    <dataValidation type="list" allowBlank="1" showInputMessage="1" showErrorMessage="1" sqref="O13:O24 O43:O48 O27:O34" xr:uid="{00000000-0002-0000-0500-000003000000}">
      <formula1>$K$4:$L$4</formula1>
    </dataValidation>
  </dataValidations>
  <pageMargins left="0.59055118110236227" right="0.59055118110236227" top="0.81" bottom="0.51" header="0.66" footer="0.35"/>
  <pageSetup paperSize="9" scale="50" orientation="landscape" r:id="rId1"/>
  <headerFooter alignWithMargins="0">
    <oddHeader>&amp;R&amp;"Arial,Fett"&amp;8Jedele und Partner GmbH</oddHeader>
    <oddFooter>&amp;L&amp;6&amp;F   &amp;A   &amp;D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94" r:id="rId4" name="Button 74">
              <controlPr defaultSize="0" print="0" autoFill="0" autoPict="0" macro="[0]!Zur_Eingabe_1">
                <anchor moveWithCells="1">
                  <from>
                    <xdr:col>256</xdr:col>
                    <xdr:colOff>0</xdr:colOff>
                    <xdr:row>194</xdr:row>
                    <xdr:rowOff>95250</xdr:rowOff>
                  </from>
                  <to>
                    <xdr:col>257</xdr:col>
                    <xdr:colOff>38100</xdr:colOff>
                    <xdr:row>208</xdr:row>
                    <xdr:rowOff>0</xdr:rowOff>
                  </to>
                </anchor>
              </controlPr>
            </control>
          </mc:Choice>
        </mc:AlternateContent>
        <mc:AlternateContent xmlns:mc="http://schemas.openxmlformats.org/markup-compatibility/2006">
          <mc:Choice Requires="x14">
            <control shapeId="5195" r:id="rId5" name="Button 75">
              <controlPr defaultSize="0" print="0" autoFill="0" autoPict="0" macro="[0]!Zur_Eingabe_2">
                <anchor moveWithCells="1">
                  <from>
                    <xdr:col>256</xdr:col>
                    <xdr:colOff>0</xdr:colOff>
                    <xdr:row>177</xdr:row>
                    <xdr:rowOff>95250</xdr:rowOff>
                  </from>
                  <to>
                    <xdr:col>257</xdr:col>
                    <xdr:colOff>38100</xdr:colOff>
                    <xdr:row>191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99">
    <tabColor indexed="42"/>
    <pageSetUpPr fitToPage="1"/>
  </sheetPr>
  <dimension ref="A1:AF132"/>
  <sheetViews>
    <sheetView showGridLines="0" zoomScaleNormal="100" workbookViewId="0">
      <pane xSplit="3" ySplit="5" topLeftCell="D6" activePane="bottomRight" state="frozen"/>
      <selection pane="topRight" activeCell="D1" sqref="D1"/>
      <selection pane="bottomLeft" activeCell="A6" sqref="A6"/>
      <selection pane="bottomRight" activeCell="C1" sqref="C1"/>
    </sheetView>
  </sheetViews>
  <sheetFormatPr baseColWidth="10" defaultColWidth="10.625" defaultRowHeight="12.75" x14ac:dyDescent="0.2"/>
  <cols>
    <col min="1" max="1" width="2.5" style="74" customWidth="1"/>
    <col min="2" max="2" width="2.5" style="125" customWidth="1"/>
    <col min="3" max="3" width="28.625" style="126" customWidth="1"/>
    <col min="4" max="4" width="6.75" style="74" customWidth="1"/>
    <col min="5" max="5" width="5.75" style="74" customWidth="1"/>
    <col min="6" max="6" width="7.75" style="74" customWidth="1"/>
    <col min="7" max="7" width="10.75" style="126" customWidth="1"/>
    <col min="8" max="8" width="8.75" style="74" customWidth="1"/>
    <col min="9" max="9" width="7.75" style="74" customWidth="1"/>
    <col min="10" max="10" width="10.75" style="126" customWidth="1"/>
    <col min="11" max="11" width="12.75" style="74" customWidth="1"/>
    <col min="12" max="12" width="12.75" style="128" customWidth="1"/>
    <col min="13" max="13" width="12.75" style="74" customWidth="1"/>
    <col min="14" max="14" width="6.875" style="74" bestFit="1" customWidth="1"/>
    <col min="15" max="15" width="2.25" style="74" customWidth="1"/>
    <col min="16" max="17" width="12.75" style="74" customWidth="1"/>
    <col min="18" max="20" width="11.625" style="74" customWidth="1"/>
    <col min="21" max="21" width="10.75" style="74" customWidth="1"/>
    <col min="22" max="22" width="9.25" style="536" customWidth="1"/>
    <col min="23" max="23" width="14.75" style="74" customWidth="1"/>
    <col min="24" max="25" width="10.625" style="74" customWidth="1"/>
    <col min="26" max="26" width="17.375" style="74" bestFit="1" customWidth="1"/>
    <col min="27" max="31" width="10.625" style="74"/>
    <col min="32" max="32" width="19.625" style="74" bestFit="1" customWidth="1"/>
    <col min="33" max="16384" width="10.625" style="74"/>
  </cols>
  <sheetData>
    <row r="1" spans="1:32" s="114" customFormat="1" ht="15.75" x14ac:dyDescent="0.25">
      <c r="C1" s="115" t="s">
        <v>88</v>
      </c>
      <c r="F1" s="124" t="str">
        <f>Eingabe_1!E2</f>
        <v>Variante 2</v>
      </c>
      <c r="G1" s="272" t="str">
        <f>Eingabe_1!E3</f>
        <v xml:space="preserve">Überleitung </v>
      </c>
      <c r="H1" s="273"/>
      <c r="K1" s="118"/>
      <c r="L1" s="119"/>
      <c r="M1" s="118"/>
      <c r="N1" s="118"/>
      <c r="O1" s="118"/>
      <c r="R1" s="120"/>
      <c r="V1" s="534"/>
    </row>
    <row r="2" spans="1:32" s="114" customFormat="1" ht="15.75" x14ac:dyDescent="0.25">
      <c r="C2" s="121"/>
      <c r="K2" s="121"/>
      <c r="M2" s="123"/>
      <c r="N2" s="123"/>
      <c r="O2" s="121"/>
      <c r="S2" s="124"/>
      <c r="T2" s="124"/>
      <c r="V2" s="535"/>
    </row>
    <row r="3" spans="1:32" x14ac:dyDescent="0.2">
      <c r="J3" s="127"/>
    </row>
    <row r="4" spans="1:32" s="141" customFormat="1" ht="17.25" customHeight="1" thickBot="1" x14ac:dyDescent="0.25">
      <c r="B4" s="129"/>
      <c r="C4" s="130" t="s">
        <v>13</v>
      </c>
      <c r="D4" s="131"/>
      <c r="E4" s="131"/>
      <c r="F4" s="131"/>
      <c r="G4" s="132"/>
      <c r="H4" s="131"/>
      <c r="I4" s="131"/>
      <c r="J4" s="133"/>
      <c r="K4" s="134" t="s">
        <v>85</v>
      </c>
      <c r="L4" s="135" t="s">
        <v>82</v>
      </c>
      <c r="M4" s="136" t="s">
        <v>83</v>
      </c>
      <c r="N4" s="495" t="s">
        <v>254</v>
      </c>
      <c r="O4" s="136"/>
      <c r="P4" s="137" t="s">
        <v>77</v>
      </c>
      <c r="Q4" s="138"/>
      <c r="R4" s="139" t="s">
        <v>14</v>
      </c>
      <c r="S4" s="134" t="s">
        <v>85</v>
      </c>
      <c r="T4" s="135" t="s">
        <v>82</v>
      </c>
      <c r="U4" s="136" t="s">
        <v>83</v>
      </c>
      <c r="V4" s="537"/>
    </row>
    <row r="5" spans="1:32" s="141" customFormat="1" ht="18.75" customHeight="1" x14ac:dyDescent="0.2">
      <c r="B5" s="142"/>
      <c r="C5" s="143"/>
      <c r="D5" s="144" t="s">
        <v>15</v>
      </c>
      <c r="E5" s="143" t="s">
        <v>16</v>
      </c>
      <c r="F5" s="143"/>
      <c r="G5" s="143" t="s">
        <v>61</v>
      </c>
      <c r="H5" s="143"/>
      <c r="I5" s="143"/>
      <c r="J5" s="144" t="s">
        <v>17</v>
      </c>
      <c r="K5" s="145" t="s">
        <v>18</v>
      </c>
      <c r="L5" s="146" t="s">
        <v>18</v>
      </c>
      <c r="M5" s="147" t="s">
        <v>84</v>
      </c>
      <c r="N5" s="496" t="s">
        <v>255</v>
      </c>
      <c r="O5" s="147"/>
      <c r="P5" s="148" t="s">
        <v>19</v>
      </c>
      <c r="Q5" s="149" t="s">
        <v>20</v>
      </c>
      <c r="R5" s="150" t="s">
        <v>41</v>
      </c>
      <c r="S5" s="151" t="s">
        <v>21</v>
      </c>
      <c r="T5" s="146" t="s">
        <v>21</v>
      </c>
      <c r="U5" s="147" t="s">
        <v>84</v>
      </c>
      <c r="V5" s="538"/>
      <c r="W5" s="274"/>
      <c r="AC5" s="70" t="s">
        <v>73</v>
      </c>
      <c r="AD5" s="85"/>
      <c r="AE5" s="85"/>
      <c r="AF5" s="86"/>
    </row>
    <row r="6" spans="1:32" s="141" customFormat="1" ht="13.5" customHeight="1" x14ac:dyDescent="0.2">
      <c r="A6" s="469" t="s">
        <v>127</v>
      </c>
      <c r="B6" s="152">
        <v>1</v>
      </c>
      <c r="C6" s="185" t="s">
        <v>127</v>
      </c>
      <c r="D6" s="402"/>
      <c r="E6" s="401"/>
      <c r="F6" s="401"/>
      <c r="G6" s="401"/>
      <c r="H6" s="401"/>
      <c r="I6" s="401"/>
      <c r="J6" s="402"/>
      <c r="K6" s="403"/>
      <c r="L6" s="404"/>
      <c r="M6" s="405"/>
      <c r="N6" s="375"/>
      <c r="O6" s="405"/>
      <c r="P6" s="187">
        <v>0.7</v>
      </c>
      <c r="Q6" s="388">
        <v>0.3</v>
      </c>
      <c r="R6" s="201"/>
      <c r="S6" s="375"/>
      <c r="T6" s="376"/>
      <c r="U6" s="375"/>
      <c r="V6" s="538"/>
      <c r="W6" s="274"/>
      <c r="AC6" s="87" t="s">
        <v>86</v>
      </c>
      <c r="AD6" s="88" t="s">
        <v>87</v>
      </c>
      <c r="AE6" s="88"/>
      <c r="AF6" s="409"/>
    </row>
    <row r="7" spans="1:32" s="174" customFormat="1" ht="13.5" customHeight="1" x14ac:dyDescent="0.2">
      <c r="A7" s="469" t="s">
        <v>127</v>
      </c>
      <c r="B7" s="162"/>
      <c r="C7" s="126" t="s">
        <v>208</v>
      </c>
      <c r="D7" s="74">
        <f>Eingabe_1!E14</f>
        <v>0</v>
      </c>
      <c r="E7" s="74" t="s">
        <v>25</v>
      </c>
      <c r="F7" s="163"/>
      <c r="H7" s="276"/>
      <c r="I7" s="277"/>
      <c r="J7" s="165">
        <v>3000</v>
      </c>
      <c r="K7" s="383">
        <f>J7*D7</f>
        <v>0</v>
      </c>
      <c r="L7" s="169">
        <f>Eingabe_1!E15*Eingabe_1!E14</f>
        <v>0</v>
      </c>
      <c r="M7" s="168" t="str">
        <f>Eingabe_1!E16</f>
        <v>Richtwert</v>
      </c>
      <c r="N7" s="168"/>
      <c r="O7" s="168"/>
      <c r="P7" s="170"/>
      <c r="Q7" s="173"/>
      <c r="R7" s="165"/>
      <c r="S7" s="204"/>
      <c r="T7" s="382"/>
      <c r="U7" s="168"/>
      <c r="V7" s="539"/>
      <c r="W7" s="275"/>
      <c r="AC7" s="89">
        <f>IF(M7=K$4,K7,L7)</f>
        <v>0</v>
      </c>
      <c r="AD7" s="90">
        <f>IF(U7=$S$4,S7,T7)</f>
        <v>0</v>
      </c>
      <c r="AE7" s="90"/>
      <c r="AF7" s="91"/>
    </row>
    <row r="8" spans="1:32" s="141" customFormat="1" ht="13.5" customHeight="1" x14ac:dyDescent="0.2">
      <c r="A8" s="469" t="s">
        <v>127</v>
      </c>
      <c r="B8" s="162"/>
      <c r="C8" s="126" t="s">
        <v>212</v>
      </c>
      <c r="D8" s="74">
        <f>Eingabe_1!E18</f>
        <v>0</v>
      </c>
      <c r="E8" s="74" t="s">
        <v>25</v>
      </c>
      <c r="F8" s="401"/>
      <c r="G8" s="401"/>
      <c r="H8" s="401"/>
      <c r="I8" s="401"/>
      <c r="J8" s="165">
        <v>10000</v>
      </c>
      <c r="K8" s="383">
        <f>J8*D8</f>
        <v>0</v>
      </c>
      <c r="L8" s="169">
        <f>Eingabe_1!E19*Eingabe_1!E18</f>
        <v>0</v>
      </c>
      <c r="M8" s="168" t="str">
        <f>Eingabe_1!E20</f>
        <v>Richtwert</v>
      </c>
      <c r="N8" s="168"/>
      <c r="O8" s="405"/>
      <c r="P8" s="170">
        <f>(IF($M8=$K$4,$K8,$L8)*P$6)</f>
        <v>0</v>
      </c>
      <c r="Q8" s="173">
        <f>(IF($M8=$K$4,$K8,$L8)*Q$6)</f>
        <v>0</v>
      </c>
      <c r="R8" s="165" t="str">
        <f>IF(D8&gt;0,150,"-")</f>
        <v>-</v>
      </c>
      <c r="S8" s="165" t="str">
        <f>IF(D8=0,"",R8*D8)</f>
        <v/>
      </c>
      <c r="T8" s="169">
        <f>Eingabe_1!E21*D8</f>
        <v>0</v>
      </c>
      <c r="U8" s="168" t="str">
        <f>Eingabe_1!E22</f>
        <v>Richtwert</v>
      </c>
      <c r="V8" s="539"/>
      <c r="W8" s="274"/>
      <c r="AC8" s="89">
        <f>IF(M8=K$4,K8,L8)</f>
        <v>0</v>
      </c>
      <c r="AD8" s="90" t="str">
        <f>IF(U8=$S$4,S8,T8)</f>
        <v/>
      </c>
      <c r="AE8" s="90"/>
      <c r="AF8" s="409"/>
    </row>
    <row r="9" spans="1:32" ht="13.5" customHeight="1" x14ac:dyDescent="0.2">
      <c r="A9" s="469" t="s">
        <v>127</v>
      </c>
      <c r="B9" s="162"/>
      <c r="C9" s="126" t="s">
        <v>213</v>
      </c>
      <c r="D9" s="74">
        <f>Eingabe_1!E24</f>
        <v>0</v>
      </c>
      <c r="E9" s="74" t="s">
        <v>25</v>
      </c>
      <c r="J9" s="165">
        <v>5500</v>
      </c>
      <c r="K9" s="383">
        <f>J9*D9</f>
        <v>0</v>
      </c>
      <c r="L9" s="169">
        <f>Eingabe_1!E25*Eingabe_1!E24</f>
        <v>0</v>
      </c>
      <c r="M9" s="168" t="str">
        <f>Eingabe_1!E26</f>
        <v>Richtwert</v>
      </c>
      <c r="N9" s="168"/>
      <c r="P9" s="170">
        <f>(IF($M9=$K$4,$K9,$L9)*P$6)</f>
        <v>0</v>
      </c>
      <c r="Q9" s="173">
        <f>(IF($M9=$K$4,$K9,$L9)*Q$6)</f>
        <v>0</v>
      </c>
      <c r="R9" s="165" t="str">
        <f>IF(D9&gt;0,60,"-")</f>
        <v>-</v>
      </c>
      <c r="S9" s="165" t="str">
        <f>IF(D9=0,"",R9*D9)</f>
        <v/>
      </c>
      <c r="T9" s="169">
        <f>Eingabe_1!E27*D9</f>
        <v>0</v>
      </c>
      <c r="U9" s="168" t="str">
        <f>Eingabe_1!E28</f>
        <v>Richtwert</v>
      </c>
      <c r="V9" s="539"/>
      <c r="AC9" s="89">
        <f>IF(M9=K$4,K9,L9)</f>
        <v>0</v>
      </c>
      <c r="AD9" s="90" t="str">
        <f>IF(U9=$S$4,S9,T9)</f>
        <v/>
      </c>
      <c r="AE9" s="90"/>
      <c r="AF9" s="75"/>
    </row>
    <row r="10" spans="1:32" s="141" customFormat="1" ht="13.5" customHeight="1" x14ac:dyDescent="0.2">
      <c r="A10" s="469" t="s">
        <v>127</v>
      </c>
      <c r="B10" s="162"/>
      <c r="C10" s="127"/>
      <c r="D10" s="74"/>
      <c r="E10" s="74"/>
      <c r="F10" s="401"/>
      <c r="G10" s="401"/>
      <c r="H10" s="401"/>
      <c r="I10" s="401"/>
      <c r="J10" s="165"/>
      <c r="K10" s="204"/>
      <c r="L10" s="213"/>
      <c r="M10" s="204"/>
      <c r="N10" s="204"/>
      <c r="O10" s="405"/>
      <c r="P10" s="170"/>
      <c r="Q10" s="173"/>
      <c r="R10" s="165"/>
      <c r="S10" s="204"/>
      <c r="T10" s="213"/>
      <c r="U10" s="204"/>
      <c r="V10" s="538"/>
      <c r="W10" s="274"/>
      <c r="AC10" s="408"/>
      <c r="AF10" s="409"/>
    </row>
    <row r="11" spans="1:32" s="141" customFormat="1" ht="13.5" customHeight="1" x14ac:dyDescent="0.2">
      <c r="A11" s="469" t="s">
        <v>127</v>
      </c>
      <c r="B11" s="162"/>
      <c r="C11" s="127" t="s">
        <v>26</v>
      </c>
      <c r="D11" s="410">
        <f>SUM(D7:D9)</f>
        <v>0</v>
      </c>
      <c r="E11" s="410" t="s">
        <v>25</v>
      </c>
      <c r="F11" s="401"/>
      <c r="G11" s="401"/>
      <c r="H11" s="401"/>
      <c r="I11" s="401"/>
      <c r="J11" s="165"/>
      <c r="K11" s="411">
        <f>SUM(K7:K10)</f>
        <v>0</v>
      </c>
      <c r="L11" s="410">
        <f>SUM(L7:L10)</f>
        <v>0</v>
      </c>
      <c r="M11" s="386">
        <f>AC11</f>
        <v>0</v>
      </c>
      <c r="N11" s="204"/>
      <c r="O11" s="405"/>
      <c r="P11" s="197">
        <f>SUM(P7:P10)</f>
        <v>0</v>
      </c>
      <c r="Q11" s="415">
        <f>SUM(Q7:Q10)</f>
        <v>0</v>
      </c>
      <c r="R11" s="165"/>
      <c r="S11" s="196">
        <f>SUM(S7:S10)</f>
        <v>0</v>
      </c>
      <c r="T11" s="196">
        <f>SUM(T7:T10)</f>
        <v>0</v>
      </c>
      <c r="U11" s="489">
        <f>AD11</f>
        <v>0</v>
      </c>
      <c r="V11" s="540"/>
      <c r="W11" s="274"/>
      <c r="AC11" s="93">
        <f>SUM(AC7:AC10)</f>
        <v>0</v>
      </c>
      <c r="AD11" s="94">
        <f>SUM(AD7:AD10)</f>
        <v>0</v>
      </c>
      <c r="AE11" s="94"/>
      <c r="AF11" s="409"/>
    </row>
    <row r="12" spans="1:32" ht="13.5" customHeight="1" x14ac:dyDescent="0.2">
      <c r="A12" s="466" t="s">
        <v>63</v>
      </c>
      <c r="B12" s="152">
        <v>2</v>
      </c>
      <c r="C12" s="185" t="s">
        <v>63</v>
      </c>
      <c r="D12" s="153"/>
      <c r="E12" s="153"/>
      <c r="F12" s="154" t="s">
        <v>23</v>
      </c>
      <c r="G12" s="155"/>
      <c r="H12" s="153"/>
      <c r="I12" s="154" t="s">
        <v>62</v>
      </c>
      <c r="J12" s="155"/>
      <c r="K12" s="156"/>
      <c r="L12" s="157"/>
      <c r="M12" s="156"/>
      <c r="N12" s="156"/>
      <c r="O12" s="156"/>
      <c r="P12" s="158"/>
      <c r="Q12" s="159"/>
      <c r="R12" s="160"/>
      <c r="S12" s="161"/>
      <c r="T12" s="157"/>
      <c r="U12" s="156"/>
      <c r="V12" s="541"/>
      <c r="W12" s="275"/>
      <c r="AC12" s="385"/>
      <c r="AF12" s="75"/>
    </row>
    <row r="13" spans="1:32" ht="13.5" customHeight="1" thickBot="1" x14ac:dyDescent="0.25">
      <c r="A13" s="466" t="s">
        <v>63</v>
      </c>
      <c r="B13" s="162"/>
      <c r="C13" s="163" t="s">
        <v>196</v>
      </c>
      <c r="D13" s="164">
        <f>Eingabe_1!E31</f>
        <v>0</v>
      </c>
      <c r="E13" s="163" t="s">
        <v>24</v>
      </c>
      <c r="F13" s="165">
        <f>Eingabe_1!E32</f>
        <v>0</v>
      </c>
      <c r="G13" s="126" t="str">
        <f>Eingabe_1!E33</f>
        <v>Freispiegel</v>
      </c>
      <c r="H13" s="126" t="str">
        <f>Eingabe_1!E34</f>
        <v>Straße</v>
      </c>
      <c r="I13" s="166" t="str">
        <f>Eingabe_1!E35</f>
        <v>2,5m</v>
      </c>
      <c r="J13" s="167">
        <f t="shared" ref="J13:J24" si="0">IF(G13="Freispiegel",VLOOKUP(AF13,C$105:D$108,2,FALSE)*F13+VLOOKUP(AF13,C$105:E$108,3,FALSE),VLOOKUP(AF13,C$109:D$111,2,FALSE)*F13^2+VLOOKUP(AF13,C$109:E$111,3,FALSE)*F13+VLOOKUP(AF13,C$109:F$111,4,FALSE))</f>
        <v>375.99</v>
      </c>
      <c r="K13" s="168">
        <f t="shared" ref="K13:K24" si="1">IF(AND(G13="Freispiegel",H13="Straße ländlich"),"Straße ländlich nur bei Druckleitung zulässig",D13*J13)</f>
        <v>0</v>
      </c>
      <c r="L13" s="169">
        <f>Eingabe_1!E36</f>
        <v>0</v>
      </c>
      <c r="M13" s="168" t="str">
        <f>Eingabe_1!E37</f>
        <v>Richtwert</v>
      </c>
      <c r="N13" s="494"/>
      <c r="O13" s="168"/>
      <c r="P13" s="170"/>
      <c r="Q13" s="171"/>
      <c r="R13" s="369">
        <f>IF(G13="Freispiegel",0.9,IF(G13="Druckleitung",0.6,""))</f>
        <v>0.9</v>
      </c>
      <c r="S13" s="165">
        <f t="shared" ref="S13:S24" si="2">R13*D13</f>
        <v>0</v>
      </c>
      <c r="T13" s="169">
        <f>Eingabe_1!E38</f>
        <v>0</v>
      </c>
      <c r="U13" s="168" t="str">
        <f>Eingabe_1!E39</f>
        <v>Richtwert</v>
      </c>
      <c r="V13" s="539"/>
      <c r="AC13" s="89">
        <f t="shared" ref="AC13:AC24" si="3">IF(M13=$K$4,K13,L13)</f>
        <v>0</v>
      </c>
      <c r="AD13" s="90">
        <f>IF(U13=$S$4,S13,T13)</f>
        <v>0</v>
      </c>
      <c r="AE13" s="90"/>
      <c r="AF13" s="91" t="str">
        <f t="shared" ref="AF13:AF24" si="4">IF(G13="Freispiegel",G13&amp;H13&amp;I13,G13&amp;H13)</f>
        <v>FreispiegelStraße2,5m</v>
      </c>
    </row>
    <row r="14" spans="1:32" ht="13.5" customHeight="1" thickBot="1" x14ac:dyDescent="0.25">
      <c r="A14" s="466" t="s">
        <v>63</v>
      </c>
      <c r="B14" s="162"/>
      <c r="C14" s="163" t="s">
        <v>197</v>
      </c>
      <c r="D14" s="164">
        <f>Eingabe_1!E41</f>
        <v>0</v>
      </c>
      <c r="E14" s="163" t="s">
        <v>24</v>
      </c>
      <c r="F14" s="165">
        <f>Eingabe_1!E42</f>
        <v>0</v>
      </c>
      <c r="G14" s="126" t="str">
        <f>Eingabe_1!E43</f>
        <v>Freispiegel</v>
      </c>
      <c r="H14" s="126" t="str">
        <f>Eingabe_1!E44</f>
        <v>Straße</v>
      </c>
      <c r="I14" s="166" t="str">
        <f>Eingabe_1!E45</f>
        <v>2,5m</v>
      </c>
      <c r="J14" s="167">
        <f t="shared" si="0"/>
        <v>375.99</v>
      </c>
      <c r="K14" s="168">
        <f t="shared" si="1"/>
        <v>0</v>
      </c>
      <c r="L14" s="169">
        <f>Eingabe_1!E46</f>
        <v>0</v>
      </c>
      <c r="M14" s="168" t="str">
        <f>Eingabe_1!E47</f>
        <v>Richtwert</v>
      </c>
      <c r="N14" s="168"/>
      <c r="O14" s="168"/>
      <c r="P14" s="170"/>
      <c r="Q14" s="171"/>
      <c r="R14" s="369">
        <f t="shared" ref="R14:R24" si="5">IF(G14="Freispiegel",0.9,IF(G14="Druckleitung",0.6,""))</f>
        <v>0.9</v>
      </c>
      <c r="S14" s="165">
        <f t="shared" si="2"/>
        <v>0</v>
      </c>
      <c r="T14" s="169">
        <f>Eingabe_1!E48</f>
        <v>0</v>
      </c>
      <c r="U14" s="168" t="str">
        <f>Eingabe_1!E49</f>
        <v>Richtwert</v>
      </c>
      <c r="V14" s="539"/>
      <c r="AC14" s="89">
        <f t="shared" si="3"/>
        <v>0</v>
      </c>
      <c r="AD14" s="90">
        <f t="shared" ref="AD14:AD21" si="6">IF(U14=$S$4,S14,T14)</f>
        <v>0</v>
      </c>
      <c r="AE14" s="90"/>
      <c r="AF14" s="91" t="str">
        <f t="shared" si="4"/>
        <v>FreispiegelStraße2,5m</v>
      </c>
    </row>
    <row r="15" spans="1:32" ht="13.5" customHeight="1" thickBot="1" x14ac:dyDescent="0.25">
      <c r="A15" s="466" t="s">
        <v>63</v>
      </c>
      <c r="B15" s="162"/>
      <c r="C15" s="163" t="s">
        <v>198</v>
      </c>
      <c r="D15" s="164">
        <f>Eingabe_1!E51</f>
        <v>0</v>
      </c>
      <c r="E15" s="163" t="s">
        <v>24</v>
      </c>
      <c r="F15" s="165">
        <f>Eingabe_1!E52</f>
        <v>0</v>
      </c>
      <c r="G15" s="126" t="str">
        <f>Eingabe_1!E53</f>
        <v>Freispiegel</v>
      </c>
      <c r="H15" s="126" t="str">
        <f>Eingabe_1!E54</f>
        <v>Straße</v>
      </c>
      <c r="I15" s="166" t="str">
        <f>Eingabe_1!E55</f>
        <v>2,5m</v>
      </c>
      <c r="J15" s="167">
        <f t="shared" si="0"/>
        <v>375.99</v>
      </c>
      <c r="K15" s="168">
        <f t="shared" si="1"/>
        <v>0</v>
      </c>
      <c r="L15" s="169">
        <f>Eingabe_1!E56</f>
        <v>0</v>
      </c>
      <c r="M15" s="168" t="str">
        <f>Eingabe_1!E57</f>
        <v>Richtwert</v>
      </c>
      <c r="N15" s="168"/>
      <c r="O15" s="168"/>
      <c r="P15" s="170"/>
      <c r="Q15" s="171"/>
      <c r="R15" s="369">
        <f t="shared" si="5"/>
        <v>0.9</v>
      </c>
      <c r="S15" s="165">
        <f t="shared" si="2"/>
        <v>0</v>
      </c>
      <c r="T15" s="169">
        <f>Eingabe_1!E58</f>
        <v>0</v>
      </c>
      <c r="U15" s="168" t="str">
        <f>Eingabe_1!E59</f>
        <v>Richtwert</v>
      </c>
      <c r="V15" s="539"/>
      <c r="AC15" s="89">
        <f t="shared" si="3"/>
        <v>0</v>
      </c>
      <c r="AD15" s="90">
        <f t="shared" si="6"/>
        <v>0</v>
      </c>
      <c r="AE15" s="90"/>
      <c r="AF15" s="91" t="str">
        <f t="shared" si="4"/>
        <v>FreispiegelStraße2,5m</v>
      </c>
    </row>
    <row r="16" spans="1:32" ht="13.5" customHeight="1" thickBot="1" x14ac:dyDescent="0.25">
      <c r="A16" s="466" t="s">
        <v>63</v>
      </c>
      <c r="B16" s="162"/>
      <c r="C16" s="163" t="s">
        <v>216</v>
      </c>
      <c r="D16" s="74">
        <f>Eingabe_1!E61</f>
        <v>0</v>
      </c>
      <c r="E16" s="126" t="s">
        <v>24</v>
      </c>
      <c r="F16" s="383">
        <f>Eingabe_1!E62</f>
        <v>0</v>
      </c>
      <c r="G16" s="126" t="str">
        <f>Eingabe_1!E63</f>
        <v>Freispiegel</v>
      </c>
      <c r="H16" s="126" t="str">
        <f>Eingabe_1!E64</f>
        <v>Straße</v>
      </c>
      <c r="I16" s="166" t="str">
        <f>Eingabe_1!E65</f>
        <v>2,5m</v>
      </c>
      <c r="J16" s="167">
        <f t="shared" si="0"/>
        <v>375.99</v>
      </c>
      <c r="K16" s="395">
        <f t="shared" si="1"/>
        <v>0</v>
      </c>
      <c r="L16" s="169">
        <f>Eingabe_1!E66</f>
        <v>0</v>
      </c>
      <c r="M16" s="168" t="str">
        <f>Eingabe_1!E67</f>
        <v>Richtwert</v>
      </c>
      <c r="N16" s="168"/>
      <c r="O16" s="168"/>
      <c r="P16" s="170"/>
      <c r="Q16" s="171"/>
      <c r="R16" s="369">
        <f t="shared" si="5"/>
        <v>0.9</v>
      </c>
      <c r="S16" s="165">
        <f t="shared" si="2"/>
        <v>0</v>
      </c>
      <c r="T16" s="169">
        <f>Eingabe_1!E68</f>
        <v>0</v>
      </c>
      <c r="U16" s="168" t="str">
        <f>Eingabe_1!E69</f>
        <v>Richtwert</v>
      </c>
      <c r="V16" s="539"/>
      <c r="AC16" s="89">
        <f t="shared" si="3"/>
        <v>0</v>
      </c>
      <c r="AD16" s="90">
        <f t="shared" si="6"/>
        <v>0</v>
      </c>
      <c r="AE16" s="90"/>
      <c r="AF16" s="91" t="str">
        <f t="shared" si="4"/>
        <v>FreispiegelStraße2,5m</v>
      </c>
    </row>
    <row r="17" spans="1:32" ht="13.5" customHeight="1" thickBot="1" x14ac:dyDescent="0.25">
      <c r="A17" s="466" t="s">
        <v>63</v>
      </c>
      <c r="B17" s="162"/>
      <c r="C17" s="163" t="s">
        <v>217</v>
      </c>
      <c r="D17" s="74">
        <f>Eingabe_1!E71</f>
        <v>0</v>
      </c>
      <c r="E17" s="126" t="s">
        <v>24</v>
      </c>
      <c r="F17" s="383">
        <f>Eingabe_1!E72</f>
        <v>0</v>
      </c>
      <c r="G17" s="126" t="str">
        <f>Eingabe_1!E73</f>
        <v>Freispiegel</v>
      </c>
      <c r="H17" s="126" t="str">
        <f>Eingabe_1!E74</f>
        <v>Straße</v>
      </c>
      <c r="I17" s="166" t="str">
        <f>Eingabe_1!E75</f>
        <v>2,5m</v>
      </c>
      <c r="J17" s="167">
        <f t="shared" si="0"/>
        <v>375.99</v>
      </c>
      <c r="K17" s="395">
        <f t="shared" si="1"/>
        <v>0</v>
      </c>
      <c r="L17" s="169">
        <f>Eingabe_1!E76</f>
        <v>0</v>
      </c>
      <c r="M17" s="168" t="str">
        <f>Eingabe_1!E77</f>
        <v>Richtwert</v>
      </c>
      <c r="N17" s="168"/>
      <c r="O17" s="168"/>
      <c r="P17" s="170"/>
      <c r="Q17" s="171"/>
      <c r="R17" s="369">
        <f t="shared" si="5"/>
        <v>0.9</v>
      </c>
      <c r="S17" s="165">
        <f t="shared" si="2"/>
        <v>0</v>
      </c>
      <c r="T17" s="169">
        <f>Eingabe_1!E78</f>
        <v>0</v>
      </c>
      <c r="U17" s="168" t="str">
        <f>Eingabe_1!E79</f>
        <v>Richtwert</v>
      </c>
      <c r="V17" s="539"/>
      <c r="AC17" s="89">
        <f t="shared" si="3"/>
        <v>0</v>
      </c>
      <c r="AD17" s="90">
        <f t="shared" si="6"/>
        <v>0</v>
      </c>
      <c r="AE17" s="90"/>
      <c r="AF17" s="91" t="str">
        <f t="shared" si="4"/>
        <v>FreispiegelStraße2,5m</v>
      </c>
    </row>
    <row r="18" spans="1:32" ht="13.5" customHeight="1" thickBot="1" x14ac:dyDescent="0.25">
      <c r="A18" s="466" t="s">
        <v>63</v>
      </c>
      <c r="B18" s="162"/>
      <c r="C18" s="163" t="s">
        <v>218</v>
      </c>
      <c r="D18" s="74">
        <f>Eingabe_1!E81</f>
        <v>0</v>
      </c>
      <c r="E18" s="126" t="s">
        <v>24</v>
      </c>
      <c r="F18" s="383">
        <f>Eingabe_1!E82</f>
        <v>0</v>
      </c>
      <c r="G18" s="126" t="str">
        <f>Eingabe_1!E83</f>
        <v>Freispiegel</v>
      </c>
      <c r="H18" s="126" t="str">
        <f>Eingabe_1!E84</f>
        <v>Straße</v>
      </c>
      <c r="I18" s="166" t="str">
        <f>Eingabe_1!E85</f>
        <v>2,5m</v>
      </c>
      <c r="J18" s="167">
        <f t="shared" si="0"/>
        <v>375.99</v>
      </c>
      <c r="K18" s="395">
        <f t="shared" si="1"/>
        <v>0</v>
      </c>
      <c r="L18" s="169">
        <f>Eingabe_1!E86</f>
        <v>0</v>
      </c>
      <c r="M18" s="168" t="str">
        <f>Eingabe_1!E87</f>
        <v>Richtwert</v>
      </c>
      <c r="N18" s="168"/>
      <c r="O18" s="168"/>
      <c r="P18" s="170"/>
      <c r="Q18" s="171"/>
      <c r="R18" s="369">
        <f t="shared" si="5"/>
        <v>0.9</v>
      </c>
      <c r="S18" s="165">
        <f t="shared" si="2"/>
        <v>0</v>
      </c>
      <c r="T18" s="169">
        <f>Eingabe_1!E88</f>
        <v>0</v>
      </c>
      <c r="U18" s="168" t="str">
        <f>Eingabe_1!E89</f>
        <v>Richtwert</v>
      </c>
      <c r="V18" s="539"/>
      <c r="AC18" s="89">
        <f t="shared" si="3"/>
        <v>0</v>
      </c>
      <c r="AD18" s="90">
        <f t="shared" si="6"/>
        <v>0</v>
      </c>
      <c r="AE18" s="90"/>
      <c r="AF18" s="91" t="str">
        <f t="shared" si="4"/>
        <v>FreispiegelStraße2,5m</v>
      </c>
    </row>
    <row r="19" spans="1:32" ht="13.5" customHeight="1" thickBot="1" x14ac:dyDescent="0.25">
      <c r="A19" s="466" t="s">
        <v>63</v>
      </c>
      <c r="B19" s="162"/>
      <c r="C19" s="163" t="s">
        <v>220</v>
      </c>
      <c r="D19" s="74">
        <f>Eingabe_1!E91</f>
        <v>0</v>
      </c>
      <c r="E19" s="126" t="s">
        <v>24</v>
      </c>
      <c r="F19" s="383">
        <f>Eingabe_1!E92</f>
        <v>0</v>
      </c>
      <c r="G19" s="126" t="str">
        <f>Eingabe_1!E93</f>
        <v>Freispiegel</v>
      </c>
      <c r="H19" s="126" t="str">
        <f>Eingabe_1!E94</f>
        <v>Straße</v>
      </c>
      <c r="I19" s="166" t="str">
        <f>Eingabe_1!E95</f>
        <v>2,5m</v>
      </c>
      <c r="J19" s="167">
        <f t="shared" si="0"/>
        <v>375.99</v>
      </c>
      <c r="K19" s="168">
        <f t="shared" si="1"/>
        <v>0</v>
      </c>
      <c r="L19" s="169">
        <f>Eingabe_1!E96</f>
        <v>0</v>
      </c>
      <c r="M19" s="168" t="str">
        <f>Eingabe_1!E97</f>
        <v>Richtwert</v>
      </c>
      <c r="N19" s="168"/>
      <c r="O19" s="168"/>
      <c r="P19" s="170"/>
      <c r="Q19" s="171"/>
      <c r="R19" s="369">
        <f t="shared" si="5"/>
        <v>0.9</v>
      </c>
      <c r="S19" s="165">
        <f t="shared" si="2"/>
        <v>0</v>
      </c>
      <c r="T19" s="169">
        <f>Eingabe_1!E98</f>
        <v>0</v>
      </c>
      <c r="U19" s="168" t="str">
        <f>Eingabe_1!E99</f>
        <v>Richtwert</v>
      </c>
      <c r="V19" s="539"/>
      <c r="AC19" s="89">
        <f t="shared" si="3"/>
        <v>0</v>
      </c>
      <c r="AD19" s="90">
        <f t="shared" si="6"/>
        <v>0</v>
      </c>
      <c r="AE19" s="90"/>
      <c r="AF19" s="91" t="str">
        <f t="shared" si="4"/>
        <v>FreispiegelStraße2,5m</v>
      </c>
    </row>
    <row r="20" spans="1:32" ht="13.5" customHeight="1" thickBot="1" x14ac:dyDescent="0.25">
      <c r="A20" s="466" t="s">
        <v>63</v>
      </c>
      <c r="B20" s="162"/>
      <c r="C20" s="163" t="s">
        <v>221</v>
      </c>
      <c r="D20" s="74">
        <f>Eingabe_1!E101</f>
        <v>0</v>
      </c>
      <c r="E20" s="126" t="s">
        <v>24</v>
      </c>
      <c r="F20" s="383">
        <f>Eingabe_1!E102</f>
        <v>0</v>
      </c>
      <c r="G20" s="126" t="str">
        <f>Eingabe_1!E103</f>
        <v>Freispiegel</v>
      </c>
      <c r="H20" s="126" t="str">
        <f>Eingabe_1!E104</f>
        <v>Straße</v>
      </c>
      <c r="I20" s="166" t="str">
        <f>Eingabe_1!E105</f>
        <v>2,5m</v>
      </c>
      <c r="J20" s="167">
        <f t="shared" si="0"/>
        <v>375.99</v>
      </c>
      <c r="K20" s="168">
        <f t="shared" si="1"/>
        <v>0</v>
      </c>
      <c r="L20" s="169">
        <f>Eingabe_1!E106</f>
        <v>0</v>
      </c>
      <c r="M20" s="168" t="str">
        <f>Eingabe_1!E107</f>
        <v>Richtwert</v>
      </c>
      <c r="N20" s="168"/>
      <c r="O20" s="168"/>
      <c r="P20" s="170"/>
      <c r="Q20" s="171"/>
      <c r="R20" s="369">
        <f t="shared" si="5"/>
        <v>0.9</v>
      </c>
      <c r="S20" s="165">
        <f t="shared" si="2"/>
        <v>0</v>
      </c>
      <c r="T20" s="169">
        <f>Eingabe_1!E108</f>
        <v>0</v>
      </c>
      <c r="U20" s="168" t="str">
        <f>Eingabe_1!E109</f>
        <v>Richtwert</v>
      </c>
      <c r="V20" s="539"/>
      <c r="AC20" s="89">
        <f t="shared" si="3"/>
        <v>0</v>
      </c>
      <c r="AD20" s="90">
        <f t="shared" si="6"/>
        <v>0</v>
      </c>
      <c r="AE20" s="90"/>
      <c r="AF20" s="91" t="str">
        <f t="shared" si="4"/>
        <v>FreispiegelStraße2,5m</v>
      </c>
    </row>
    <row r="21" spans="1:32" ht="13.5" customHeight="1" thickBot="1" x14ac:dyDescent="0.25">
      <c r="A21" s="466" t="s">
        <v>63</v>
      </c>
      <c r="B21" s="162"/>
      <c r="C21" s="163" t="s">
        <v>222</v>
      </c>
      <c r="D21" s="74">
        <f>Eingabe_1!E111</f>
        <v>0</v>
      </c>
      <c r="E21" s="126" t="s">
        <v>24</v>
      </c>
      <c r="F21" s="383">
        <f>Eingabe_1!E112</f>
        <v>0</v>
      </c>
      <c r="G21" s="126" t="str">
        <f>Eingabe_1!E113</f>
        <v>Freispiegel</v>
      </c>
      <c r="H21" s="126" t="str">
        <f>Eingabe_1!E114</f>
        <v>Straße</v>
      </c>
      <c r="I21" s="166" t="str">
        <f>Eingabe_1!E115</f>
        <v>2,5m</v>
      </c>
      <c r="J21" s="167">
        <f t="shared" si="0"/>
        <v>375.99</v>
      </c>
      <c r="K21" s="168">
        <f t="shared" si="1"/>
        <v>0</v>
      </c>
      <c r="L21" s="169">
        <f>Eingabe_1!E116</f>
        <v>0</v>
      </c>
      <c r="M21" s="168" t="str">
        <f>Eingabe_1!E117</f>
        <v>Richtwert</v>
      </c>
      <c r="N21" s="168"/>
      <c r="O21" s="168"/>
      <c r="P21" s="170"/>
      <c r="Q21" s="171"/>
      <c r="R21" s="369">
        <f t="shared" si="5"/>
        <v>0.9</v>
      </c>
      <c r="S21" s="165">
        <f t="shared" si="2"/>
        <v>0</v>
      </c>
      <c r="T21" s="169">
        <f>Eingabe_1!E118</f>
        <v>0</v>
      </c>
      <c r="U21" s="168" t="str">
        <f>Eingabe_1!E119</f>
        <v>Richtwert</v>
      </c>
      <c r="V21" s="539"/>
      <c r="AC21" s="89">
        <f t="shared" si="3"/>
        <v>0</v>
      </c>
      <c r="AD21" s="90">
        <f t="shared" si="6"/>
        <v>0</v>
      </c>
      <c r="AE21" s="90"/>
      <c r="AF21" s="91" t="str">
        <f t="shared" si="4"/>
        <v>FreispiegelStraße2,5m</v>
      </c>
    </row>
    <row r="22" spans="1:32" ht="13.5" customHeight="1" thickBot="1" x14ac:dyDescent="0.25">
      <c r="A22" s="466" t="s">
        <v>63</v>
      </c>
      <c r="B22" s="162"/>
      <c r="C22" s="394" t="s">
        <v>199</v>
      </c>
      <c r="D22" s="412">
        <f>Eingabe_1!E122</f>
        <v>0</v>
      </c>
      <c r="E22" s="394" t="s">
        <v>24</v>
      </c>
      <c r="F22" s="397">
        <f>Eingabe_1!E123</f>
        <v>0</v>
      </c>
      <c r="G22" s="398" t="str">
        <f>Eingabe_1!E124</f>
        <v>Druckleitung</v>
      </c>
      <c r="H22" s="398" t="str">
        <f>Eingabe_1!E125</f>
        <v>Gelände</v>
      </c>
      <c r="I22" s="399" t="str">
        <f>Eingabe_1!E126</f>
        <v>2,5m</v>
      </c>
      <c r="J22" s="413">
        <f t="shared" si="0"/>
        <v>175.5</v>
      </c>
      <c r="K22" s="400">
        <f t="shared" si="1"/>
        <v>0</v>
      </c>
      <c r="L22" s="169">
        <f>Eingabe_1!E127</f>
        <v>0</v>
      </c>
      <c r="M22" s="168" t="str">
        <f>Eingabe_1!E128</f>
        <v>Richtwert</v>
      </c>
      <c r="N22" s="168"/>
      <c r="O22" s="168"/>
      <c r="P22" s="170"/>
      <c r="Q22" s="173"/>
      <c r="R22" s="369">
        <f t="shared" si="5"/>
        <v>0.6</v>
      </c>
      <c r="S22" s="165">
        <f t="shared" si="2"/>
        <v>0</v>
      </c>
      <c r="T22" s="169">
        <f>Eingabe_1!E129</f>
        <v>0</v>
      </c>
      <c r="U22" s="168" t="str">
        <f>Eingabe_1!E130</f>
        <v>Richtwert</v>
      </c>
      <c r="V22" s="539"/>
      <c r="AC22" s="89">
        <f t="shared" si="3"/>
        <v>0</v>
      </c>
      <c r="AD22" s="90">
        <f>IF(U22=$S$4,S22,T22)</f>
        <v>0</v>
      </c>
      <c r="AE22" s="90"/>
      <c r="AF22" s="91" t="str">
        <f t="shared" si="4"/>
        <v>DruckleitungGelände</v>
      </c>
    </row>
    <row r="23" spans="1:32" ht="13.5" customHeight="1" thickBot="1" x14ac:dyDescent="0.25">
      <c r="A23" s="466" t="s">
        <v>63</v>
      </c>
      <c r="B23" s="162"/>
      <c r="C23" s="394" t="s">
        <v>200</v>
      </c>
      <c r="D23" s="396">
        <f>Eingabe_1!E133</f>
        <v>0</v>
      </c>
      <c r="E23" s="394" t="s">
        <v>24</v>
      </c>
      <c r="F23" s="397">
        <f>Eingabe_1!E134</f>
        <v>0</v>
      </c>
      <c r="G23" s="398" t="str">
        <f>Eingabe_1!E135</f>
        <v>Druckleitung</v>
      </c>
      <c r="H23" s="398" t="str">
        <f>Eingabe_1!E136</f>
        <v>Straße ländlich</v>
      </c>
      <c r="I23" s="399" t="str">
        <f>Eingabe_1!E137</f>
        <v>2,5m</v>
      </c>
      <c r="J23" s="413">
        <f t="shared" si="0"/>
        <v>282.5</v>
      </c>
      <c r="K23" s="400">
        <f t="shared" si="1"/>
        <v>0</v>
      </c>
      <c r="L23" s="340">
        <f>Eingabe_1!E138</f>
        <v>0</v>
      </c>
      <c r="M23" s="168" t="str">
        <f>Eingabe_1!E139</f>
        <v>Richtwert</v>
      </c>
      <c r="N23" s="168"/>
      <c r="O23" s="168"/>
      <c r="P23" s="170"/>
      <c r="Q23" s="173"/>
      <c r="R23" s="369">
        <f t="shared" si="5"/>
        <v>0.6</v>
      </c>
      <c r="S23" s="165">
        <f t="shared" si="2"/>
        <v>0</v>
      </c>
      <c r="T23" s="169">
        <f>Eingabe_1!E140</f>
        <v>0</v>
      </c>
      <c r="U23" s="168" t="str">
        <f>Eingabe_1!E141</f>
        <v>Richtwert</v>
      </c>
      <c r="V23" s="539"/>
      <c r="AC23" s="89">
        <f t="shared" si="3"/>
        <v>0</v>
      </c>
      <c r="AD23" s="90">
        <f>IF(U23=$S$4,S23,T23)</f>
        <v>0</v>
      </c>
      <c r="AE23" s="90"/>
      <c r="AF23" s="91" t="str">
        <f t="shared" si="4"/>
        <v>DruckleitungStraße ländlich</v>
      </c>
    </row>
    <row r="24" spans="1:32" ht="13.5" customHeight="1" thickBot="1" x14ac:dyDescent="0.25">
      <c r="A24" s="466" t="s">
        <v>63</v>
      </c>
      <c r="B24" s="162"/>
      <c r="C24" s="394" t="s">
        <v>201</v>
      </c>
      <c r="D24" s="396">
        <f>Eingabe_1!E144</f>
        <v>0</v>
      </c>
      <c r="E24" s="394" t="s">
        <v>24</v>
      </c>
      <c r="F24" s="397">
        <f>Eingabe_1!E145</f>
        <v>0</v>
      </c>
      <c r="G24" s="398" t="str">
        <f>Eingabe_1!E146</f>
        <v>Druckleitung</v>
      </c>
      <c r="H24" s="398" t="str">
        <f>Eingabe_1!E147</f>
        <v>Straße</v>
      </c>
      <c r="I24" s="399" t="str">
        <f>Eingabe_1!E148</f>
        <v>2,5m</v>
      </c>
      <c r="J24" s="413">
        <f t="shared" si="0"/>
        <v>381.5</v>
      </c>
      <c r="K24" s="400">
        <f t="shared" si="1"/>
        <v>0</v>
      </c>
      <c r="L24" s="340">
        <f>Eingabe_1!E149</f>
        <v>0</v>
      </c>
      <c r="M24" s="168" t="str">
        <f>Eingabe_1!E150</f>
        <v>Richtwert</v>
      </c>
      <c r="N24" s="168"/>
      <c r="O24" s="168"/>
      <c r="P24" s="170"/>
      <c r="Q24" s="173"/>
      <c r="R24" s="369">
        <f t="shared" si="5"/>
        <v>0.6</v>
      </c>
      <c r="S24" s="165">
        <f t="shared" si="2"/>
        <v>0</v>
      </c>
      <c r="T24" s="169">
        <f>Eingabe_1!E151</f>
        <v>0</v>
      </c>
      <c r="U24" s="168" t="str">
        <f>Eingabe_1!E152</f>
        <v>Richtwert</v>
      </c>
      <c r="V24" s="539"/>
      <c r="AC24" s="89">
        <f t="shared" si="3"/>
        <v>0</v>
      </c>
      <c r="AD24" s="90">
        <f>IF(U24=$S$4,S24,T24)</f>
        <v>0</v>
      </c>
      <c r="AE24" s="90"/>
      <c r="AF24" s="91" t="str">
        <f t="shared" si="4"/>
        <v>DruckleitungStraße</v>
      </c>
    </row>
    <row r="25" spans="1:32" ht="13.5" customHeight="1" x14ac:dyDescent="0.2">
      <c r="A25" s="466" t="s">
        <v>63</v>
      </c>
      <c r="B25" s="176"/>
      <c r="C25" s="177" t="s">
        <v>26</v>
      </c>
      <c r="D25" s="381">
        <f>SUM(D13:D24)</f>
        <v>0</v>
      </c>
      <c r="E25" s="381" t="s">
        <v>24</v>
      </c>
      <c r="F25" s="178"/>
      <c r="H25" s="178"/>
      <c r="I25" s="178"/>
      <c r="J25" s="151"/>
      <c r="K25" s="179">
        <f>SUM(K13:K24)</f>
        <v>0</v>
      </c>
      <c r="L25" s="180">
        <f>SUM(L13:L24)</f>
        <v>0</v>
      </c>
      <c r="M25" s="181">
        <f>AC25</f>
        <v>0</v>
      </c>
      <c r="N25" s="204"/>
      <c r="O25" s="182"/>
      <c r="P25" s="150"/>
      <c r="Q25" s="183"/>
      <c r="R25" s="165"/>
      <c r="S25" s="184">
        <f>SUM(S13:S24)</f>
        <v>0</v>
      </c>
      <c r="T25" s="180">
        <f>SUM(T13:T24)</f>
        <v>0</v>
      </c>
      <c r="U25" s="485">
        <f>AD25</f>
        <v>0</v>
      </c>
      <c r="V25" s="540"/>
      <c r="W25" s="275"/>
      <c r="AC25" s="93">
        <f>SUM(AC13:AC24)</f>
        <v>0</v>
      </c>
      <c r="AD25" s="94">
        <f>SUM(AD13:AD24)</f>
        <v>0</v>
      </c>
      <c r="AE25" s="94"/>
      <c r="AF25" s="91"/>
    </row>
    <row r="26" spans="1:32" s="192" customFormat="1" ht="13.5" customHeight="1" x14ac:dyDescent="0.2">
      <c r="A26" s="467" t="s">
        <v>245</v>
      </c>
      <c r="B26" s="152">
        <v>3</v>
      </c>
      <c r="C26" s="185" t="s">
        <v>214</v>
      </c>
      <c r="D26" s="156"/>
      <c r="E26" s="153"/>
      <c r="F26" s="153"/>
      <c r="G26" s="155"/>
      <c r="H26" s="153"/>
      <c r="I26" s="153"/>
      <c r="J26" s="165"/>
      <c r="K26" s="165"/>
      <c r="L26" s="186"/>
      <c r="M26" s="165"/>
      <c r="N26" s="201"/>
      <c r="O26" s="165"/>
      <c r="P26" s="187">
        <v>0.6</v>
      </c>
      <c r="Q26" s="188">
        <v>0.4</v>
      </c>
      <c r="R26" s="189" t="s">
        <v>189</v>
      </c>
      <c r="S26" s="190" t="s">
        <v>27</v>
      </c>
      <c r="T26" s="186"/>
      <c r="U26" s="165"/>
      <c r="V26" s="542"/>
      <c r="W26" s="278"/>
      <c r="AC26" s="95"/>
      <c r="AD26" s="90"/>
      <c r="AE26" s="90"/>
      <c r="AF26" s="91"/>
    </row>
    <row r="27" spans="1:32" s="192" customFormat="1" ht="13.5" customHeight="1" x14ac:dyDescent="0.2">
      <c r="A27" s="467" t="s">
        <v>245</v>
      </c>
      <c r="B27" s="162"/>
      <c r="C27" s="126" t="s">
        <v>153</v>
      </c>
      <c r="D27" s="74">
        <f>Eingabe_2!E7</f>
        <v>0</v>
      </c>
      <c r="E27" s="74" t="s">
        <v>22</v>
      </c>
      <c r="F27" s="74">
        <f>Eingabe_2!E8</f>
        <v>0</v>
      </c>
      <c r="G27" s="126" t="s">
        <v>29</v>
      </c>
      <c r="H27" s="74"/>
      <c r="I27" s="74"/>
      <c r="J27" s="165"/>
      <c r="K27" s="165">
        <f>90967*D27^0.6109</f>
        <v>0</v>
      </c>
      <c r="L27" s="169">
        <f>Eingabe_2!E9</f>
        <v>0</v>
      </c>
      <c r="M27" s="168" t="str">
        <f>Eingabe_2!E10</f>
        <v>Richtwert</v>
      </c>
      <c r="N27" s="525">
        <f>Eingabe_2!E11</f>
        <v>1</v>
      </c>
      <c r="O27" s="168"/>
      <c r="P27" s="170">
        <f t="shared" ref="P27:Q34" si="7">(IF($M27=$K$4,$K27,$L27)*P$26)</f>
        <v>0</v>
      </c>
      <c r="Q27" s="165">
        <f t="shared" si="7"/>
        <v>0</v>
      </c>
      <c r="R27" s="170" t="str">
        <f>IF(D27&gt;0,1800,"-")</f>
        <v>-</v>
      </c>
      <c r="S27" s="165">
        <f>IF(AND(D27&gt;0,F27&gt;0),(F27+100)*1.75,0)</f>
        <v>0</v>
      </c>
      <c r="T27" s="169">
        <f>Eingabe_2!E12</f>
        <v>0</v>
      </c>
      <c r="U27" s="168" t="str">
        <f>Eingabe_2!E13</f>
        <v>Richtwert</v>
      </c>
      <c r="V27" s="539"/>
      <c r="AC27" s="89">
        <f>IF(M27=K$4,K27*N27,L27*N27)</f>
        <v>0</v>
      </c>
      <c r="AD27" s="90">
        <f>IF(U27=T$4,T27,IF(OR(R27="-",S27="-"),0,R27+S27))</f>
        <v>0</v>
      </c>
      <c r="AE27" s="90"/>
      <c r="AF27" s="91"/>
    </row>
    <row r="28" spans="1:32" s="192" customFormat="1" ht="13.5" customHeight="1" x14ac:dyDescent="0.2">
      <c r="A28" s="467" t="s">
        <v>245</v>
      </c>
      <c r="B28" s="162"/>
      <c r="C28" s="126" t="s">
        <v>154</v>
      </c>
      <c r="D28" s="74">
        <f>Eingabe_2!E16</f>
        <v>0</v>
      </c>
      <c r="E28" s="74" t="s">
        <v>22</v>
      </c>
      <c r="F28" s="74">
        <f>Eingabe_2!E17</f>
        <v>0</v>
      </c>
      <c r="G28" s="126" t="s">
        <v>29</v>
      </c>
      <c r="H28" s="74"/>
      <c r="I28" s="74"/>
      <c r="J28" s="165"/>
      <c r="K28" s="165">
        <f t="shared" ref="K28:K31" si="8">90967*D28^0.6109</f>
        <v>0</v>
      </c>
      <c r="L28" s="169">
        <f>Eingabe_2!E18</f>
        <v>0</v>
      </c>
      <c r="M28" s="168" t="str">
        <f>Eingabe_2!E19</f>
        <v>Richtwert</v>
      </c>
      <c r="N28" s="525">
        <f>Eingabe_2!E20</f>
        <v>1</v>
      </c>
      <c r="O28" s="168"/>
      <c r="P28" s="170">
        <f t="shared" si="7"/>
        <v>0</v>
      </c>
      <c r="Q28" s="165">
        <f t="shared" si="7"/>
        <v>0</v>
      </c>
      <c r="R28" s="170" t="str">
        <f t="shared" ref="R28:R31" si="9">IF(D28&gt;0,1800,"-")</f>
        <v>-</v>
      </c>
      <c r="S28" s="165">
        <f t="shared" ref="S28:S29" si="10">IF(AND(D28&gt;0,F28&gt;0),(F28+100)*1.75,0)</f>
        <v>0</v>
      </c>
      <c r="T28" s="169">
        <f>Eingabe_2!E21</f>
        <v>0</v>
      </c>
      <c r="U28" s="168" t="str">
        <f>Eingabe_2!E22</f>
        <v>Richtwert</v>
      </c>
      <c r="V28" s="539"/>
      <c r="AC28" s="89">
        <f t="shared" ref="AC28:AC33" si="11">IF(M28=K$4,K28*N28,L28*N28)</f>
        <v>0</v>
      </c>
      <c r="AD28" s="90">
        <f>IF(U28=T$4,T28,IF(OR(R28="-",S28="-"),0,R28+S28))</f>
        <v>0</v>
      </c>
      <c r="AE28" s="90"/>
      <c r="AF28" s="91"/>
    </row>
    <row r="29" spans="1:32" s="192" customFormat="1" ht="13.5" customHeight="1" x14ac:dyDescent="0.2">
      <c r="A29" s="467" t="s">
        <v>245</v>
      </c>
      <c r="B29" s="162"/>
      <c r="C29" s="126" t="s">
        <v>155</v>
      </c>
      <c r="D29" s="74">
        <f>Eingabe_2!E25</f>
        <v>0</v>
      </c>
      <c r="E29" s="74" t="s">
        <v>22</v>
      </c>
      <c r="F29" s="74">
        <f>Eingabe_2!E26</f>
        <v>0</v>
      </c>
      <c r="G29" s="126" t="s">
        <v>29</v>
      </c>
      <c r="H29" s="74"/>
      <c r="I29" s="74"/>
      <c r="J29" s="165"/>
      <c r="K29" s="165">
        <f t="shared" si="8"/>
        <v>0</v>
      </c>
      <c r="L29" s="169">
        <f>Eingabe_2!E27</f>
        <v>0</v>
      </c>
      <c r="M29" s="168" t="str">
        <f>Eingabe_2!E28</f>
        <v>Richtwert</v>
      </c>
      <c r="N29" s="525">
        <f>Eingabe_2!E29</f>
        <v>1</v>
      </c>
      <c r="O29" s="168"/>
      <c r="P29" s="170">
        <f t="shared" si="7"/>
        <v>0</v>
      </c>
      <c r="Q29" s="165">
        <f t="shared" si="7"/>
        <v>0</v>
      </c>
      <c r="R29" s="170" t="str">
        <f t="shared" si="9"/>
        <v>-</v>
      </c>
      <c r="S29" s="165">
        <f t="shared" si="10"/>
        <v>0</v>
      </c>
      <c r="T29" s="169">
        <f>Eingabe_2!E30</f>
        <v>0</v>
      </c>
      <c r="U29" s="168" t="str">
        <f>Eingabe_2!E31</f>
        <v>Richtwert</v>
      </c>
      <c r="V29" s="539"/>
      <c r="AC29" s="89">
        <f t="shared" si="11"/>
        <v>0</v>
      </c>
      <c r="AD29" s="90">
        <f>IF(U29=T$4,T29,IF(OR(R29="-",S29="-"),0,R29+S29))</f>
        <v>0</v>
      </c>
      <c r="AE29" s="90"/>
      <c r="AF29" s="91"/>
    </row>
    <row r="30" spans="1:32" s="192" customFormat="1" ht="13.5" customHeight="1" x14ac:dyDescent="0.2">
      <c r="A30" s="467" t="s">
        <v>245</v>
      </c>
      <c r="B30" s="162"/>
      <c r="C30" s="126" t="s">
        <v>243</v>
      </c>
      <c r="D30" s="74">
        <f>Eingabe_2!E34</f>
        <v>0</v>
      </c>
      <c r="E30" s="74" t="s">
        <v>22</v>
      </c>
      <c r="F30" s="74">
        <f>Eingabe_2!E35</f>
        <v>0</v>
      </c>
      <c r="G30" s="126" t="s">
        <v>29</v>
      </c>
      <c r="H30" s="74"/>
      <c r="I30" s="74"/>
      <c r="J30" s="165"/>
      <c r="K30" s="165">
        <f t="shared" si="8"/>
        <v>0</v>
      </c>
      <c r="L30" s="463">
        <f>Eingabe_2!E36</f>
        <v>0</v>
      </c>
      <c r="M30" s="168" t="str">
        <f>Eingabe_2!E37</f>
        <v>Richtwert</v>
      </c>
      <c r="N30" s="525">
        <f>Eingabe_2!E38</f>
        <v>1</v>
      </c>
      <c r="O30" s="168"/>
      <c r="P30" s="170">
        <f t="shared" si="7"/>
        <v>0</v>
      </c>
      <c r="Q30" s="165">
        <f t="shared" si="7"/>
        <v>0</v>
      </c>
      <c r="R30" s="170" t="str">
        <f t="shared" si="9"/>
        <v>-</v>
      </c>
      <c r="S30" s="165">
        <f t="shared" ref="S30:S31" si="12">IF(AND(D30&gt;0,F30&gt;0),F30*2.7,0)</f>
        <v>0</v>
      </c>
      <c r="T30" s="463">
        <f>Eingabe_2!E39</f>
        <v>0</v>
      </c>
      <c r="U30" s="168" t="str">
        <f>Eingabe_2!E40</f>
        <v>Richtwert</v>
      </c>
      <c r="V30" s="539"/>
      <c r="AC30" s="89">
        <f t="shared" si="11"/>
        <v>0</v>
      </c>
      <c r="AD30" s="90">
        <f t="shared" ref="AD30:AD31" si="13">IF(U30=T$4,T30,IF(OR(R30="-",S30="-"),0,R30+S30))</f>
        <v>0</v>
      </c>
      <c r="AE30" s="90"/>
      <c r="AF30" s="91"/>
    </row>
    <row r="31" spans="1:32" s="192" customFormat="1" ht="13.5" customHeight="1" x14ac:dyDescent="0.2">
      <c r="A31" s="467" t="s">
        <v>245</v>
      </c>
      <c r="B31" s="162"/>
      <c r="C31" s="126" t="s">
        <v>244</v>
      </c>
      <c r="D31" s="74">
        <f>Eingabe_2!E43</f>
        <v>0</v>
      </c>
      <c r="E31" s="74" t="s">
        <v>22</v>
      </c>
      <c r="F31" s="74">
        <f>Eingabe_2!E44</f>
        <v>0</v>
      </c>
      <c r="G31" s="126" t="s">
        <v>29</v>
      </c>
      <c r="H31" s="74"/>
      <c r="I31" s="74"/>
      <c r="J31" s="165"/>
      <c r="K31" s="165">
        <f t="shared" si="8"/>
        <v>0</v>
      </c>
      <c r="L31" s="463">
        <f>Eingabe_2!E45</f>
        <v>0</v>
      </c>
      <c r="M31" s="168" t="str">
        <f>Eingabe_2!E46</f>
        <v>Richtwert</v>
      </c>
      <c r="N31" s="525">
        <f>Eingabe_2!E47</f>
        <v>1</v>
      </c>
      <c r="O31" s="168"/>
      <c r="P31" s="170">
        <f t="shared" si="7"/>
        <v>0</v>
      </c>
      <c r="Q31" s="165">
        <f t="shared" si="7"/>
        <v>0</v>
      </c>
      <c r="R31" s="170" t="str">
        <f t="shared" si="9"/>
        <v>-</v>
      </c>
      <c r="S31" s="165">
        <f t="shared" si="12"/>
        <v>0</v>
      </c>
      <c r="T31" s="463">
        <f>Eingabe_2!E48</f>
        <v>0</v>
      </c>
      <c r="U31" s="168" t="str">
        <f>Eingabe_2!E49</f>
        <v>Richtwert</v>
      </c>
      <c r="V31" s="539"/>
      <c r="AC31" s="89">
        <f t="shared" si="11"/>
        <v>0</v>
      </c>
      <c r="AD31" s="90">
        <f t="shared" si="13"/>
        <v>0</v>
      </c>
      <c r="AE31" s="90"/>
      <c r="AF31" s="91"/>
    </row>
    <row r="32" spans="1:32" s="192" customFormat="1" ht="13.5" customHeight="1" x14ac:dyDescent="0.2">
      <c r="A32" s="467" t="s">
        <v>245</v>
      </c>
      <c r="B32" s="162"/>
      <c r="C32" s="126" t="s">
        <v>215</v>
      </c>
      <c r="D32" s="74"/>
      <c r="E32" s="74"/>
      <c r="F32" s="74">
        <f>Eingabe_2!E52</f>
        <v>0</v>
      </c>
      <c r="G32" s="126" t="s">
        <v>29</v>
      </c>
      <c r="H32" s="74"/>
      <c r="I32" s="74"/>
      <c r="J32" s="389"/>
      <c r="K32" s="165">
        <f>IF(F32=0,0,(0.0000006*F32^4)-(0.0013*F32^3)+(0.9796*F32^2)-(16.098*F32)+138587)*0.3*1.5</f>
        <v>0</v>
      </c>
      <c r="L32" s="169">
        <f>Eingabe_2!E53</f>
        <v>0</v>
      </c>
      <c r="M32" s="168" t="str">
        <f>Eingabe_2!E54</f>
        <v>Richtwert</v>
      </c>
      <c r="N32" s="525">
        <f>Eingabe_2!E55</f>
        <v>1</v>
      </c>
      <c r="O32" s="168"/>
      <c r="P32" s="170">
        <f t="shared" si="7"/>
        <v>0</v>
      </c>
      <c r="Q32" s="165">
        <f t="shared" si="7"/>
        <v>0</v>
      </c>
      <c r="R32" s="170" t="str">
        <f>IF(F32&gt;0,1200,"-")</f>
        <v>-</v>
      </c>
      <c r="S32" s="165" t="str">
        <f>IF(F32&gt;0,F32*8.75,"-")</f>
        <v>-</v>
      </c>
      <c r="T32" s="169">
        <f>Eingabe_2!E56</f>
        <v>0</v>
      </c>
      <c r="U32" s="168" t="str">
        <f>Eingabe_2!E57</f>
        <v>Richtwert</v>
      </c>
      <c r="V32" s="539"/>
      <c r="AC32" s="89">
        <f t="shared" si="11"/>
        <v>0</v>
      </c>
      <c r="AD32" s="90">
        <f>IF(U32=T$4,T32,IF(OR(R32="-",S32="-"),0,R32+S32))</f>
        <v>0</v>
      </c>
      <c r="AE32" s="90"/>
      <c r="AF32" s="91"/>
    </row>
    <row r="33" spans="1:32" s="192" customFormat="1" ht="13.5" customHeight="1" x14ac:dyDescent="0.2">
      <c r="A33" s="467" t="s">
        <v>245</v>
      </c>
      <c r="B33" s="162"/>
      <c r="C33" s="126" t="s">
        <v>219</v>
      </c>
      <c r="D33" s="74">
        <f>Eingabe_2!E60</f>
        <v>0</v>
      </c>
      <c r="E33" s="74" t="s">
        <v>22</v>
      </c>
      <c r="F33" s="74">
        <f>Eingabe_2!E52</f>
        <v>0</v>
      </c>
      <c r="G33" s="126" t="s">
        <v>29</v>
      </c>
      <c r="H33" s="74"/>
      <c r="I33" s="74"/>
      <c r="J33" s="389"/>
      <c r="K33" s="165">
        <f>90967*D33^0.6109</f>
        <v>0</v>
      </c>
      <c r="L33" s="169">
        <f>Eingabe_2!E61</f>
        <v>0</v>
      </c>
      <c r="M33" s="168" t="str">
        <f>Eingabe_2!E62</f>
        <v>Richtwert</v>
      </c>
      <c r="N33" s="525">
        <f>Eingabe_2!E63</f>
        <v>1</v>
      </c>
      <c r="O33" s="168"/>
      <c r="P33" s="170">
        <f t="shared" si="7"/>
        <v>0</v>
      </c>
      <c r="Q33" s="165">
        <f t="shared" si="7"/>
        <v>0</v>
      </c>
      <c r="R33" s="170" t="str">
        <f>IF(D33&gt;0,1800,"-")</f>
        <v>-</v>
      </c>
      <c r="S33" s="165">
        <f>IF(AND(D33&gt;0,F33&gt;0),(F33+100)*1.75,0)</f>
        <v>0</v>
      </c>
      <c r="T33" s="169">
        <f>Eingabe_2!E64</f>
        <v>0</v>
      </c>
      <c r="U33" s="168" t="str">
        <f>Eingabe_2!E65</f>
        <v>Richtwert</v>
      </c>
      <c r="V33" s="539"/>
      <c r="AC33" s="89">
        <f t="shared" si="11"/>
        <v>0</v>
      </c>
      <c r="AD33" s="90">
        <f>IF(U33=T$4,T33,IF(OR(R33="-",S33="-"),0,R33+S33))</f>
        <v>0</v>
      </c>
      <c r="AE33" s="90"/>
      <c r="AF33" s="91"/>
    </row>
    <row r="34" spans="1:32" s="192" customFormat="1" ht="13.5" customHeight="1" x14ac:dyDescent="0.2">
      <c r="A34" s="467" t="s">
        <v>245</v>
      </c>
      <c r="B34" s="162"/>
      <c r="C34" s="126"/>
      <c r="D34" s="74"/>
      <c r="E34" s="74"/>
      <c r="F34" s="74"/>
      <c r="G34" s="126"/>
      <c r="H34" s="74"/>
      <c r="I34" s="74"/>
      <c r="J34" s="165"/>
      <c r="K34" s="165"/>
      <c r="L34" s="193"/>
      <c r="M34" s="168">
        <f>AF34</f>
        <v>0</v>
      </c>
      <c r="N34" s="168"/>
      <c r="O34" s="168"/>
      <c r="P34" s="194">
        <f t="shared" si="7"/>
        <v>0</v>
      </c>
      <c r="Q34" s="165">
        <f t="shared" si="7"/>
        <v>0</v>
      </c>
      <c r="R34" s="170"/>
      <c r="S34" s="165"/>
      <c r="T34" s="193"/>
      <c r="U34" s="204">
        <f>AD34</f>
        <v>0</v>
      </c>
      <c r="V34" s="540"/>
      <c r="AC34" s="89"/>
      <c r="AD34" s="90"/>
      <c r="AE34" s="90"/>
      <c r="AF34" s="91"/>
    </row>
    <row r="35" spans="1:32" s="192" customFormat="1" ht="13.5" customHeight="1" x14ac:dyDescent="0.2">
      <c r="A35" s="467" t="s">
        <v>245</v>
      </c>
      <c r="B35" s="176"/>
      <c r="C35" s="177" t="s">
        <v>26</v>
      </c>
      <c r="D35" s="178"/>
      <c r="E35" s="178"/>
      <c r="F35" s="178"/>
      <c r="G35" s="195"/>
      <c r="H35" s="178"/>
      <c r="I35" s="178"/>
      <c r="J35" s="151"/>
      <c r="K35" s="196">
        <f>SUM(K27:K34)</f>
        <v>0</v>
      </c>
      <c r="L35" s="196">
        <f>SUM(L27:L34)</f>
        <v>0</v>
      </c>
      <c r="M35" s="196">
        <f>AC35</f>
        <v>0</v>
      </c>
      <c r="N35" s="196"/>
      <c r="O35" s="196"/>
      <c r="P35" s="197">
        <f>SUM(P27:P34)</f>
        <v>0</v>
      </c>
      <c r="Q35" s="198">
        <f>SUM(Q27:Q34)</f>
        <v>0</v>
      </c>
      <c r="R35" s="199">
        <f>SUM(R27:R34)</f>
        <v>0</v>
      </c>
      <c r="S35" s="196">
        <f>SUM(S27:S34)</f>
        <v>0</v>
      </c>
      <c r="T35" s="196">
        <f>SUM(T27:T34)</f>
        <v>0</v>
      </c>
      <c r="U35" s="485">
        <f>AD35</f>
        <v>0</v>
      </c>
      <c r="V35" s="540"/>
      <c r="AC35" s="490">
        <f>SUM(AC27:AC33)</f>
        <v>0</v>
      </c>
      <c r="AD35" s="94">
        <f>SUM(AD27:AD34)</f>
        <v>0</v>
      </c>
      <c r="AE35" s="94"/>
      <c r="AF35" s="91"/>
    </row>
    <row r="36" spans="1:32" s="192" customFormat="1" ht="13.5" customHeight="1" x14ac:dyDescent="0.2">
      <c r="A36" s="467" t="s">
        <v>158</v>
      </c>
      <c r="B36" s="162">
        <v>4</v>
      </c>
      <c r="C36" s="127" t="s">
        <v>167</v>
      </c>
      <c r="D36" s="74"/>
      <c r="E36" s="74"/>
      <c r="F36" s="74"/>
      <c r="G36" s="126"/>
      <c r="H36" s="74"/>
      <c r="I36" s="74"/>
      <c r="J36" s="165"/>
      <c r="K36" s="204"/>
      <c r="L36" s="204"/>
      <c r="M36" s="204"/>
      <c r="N36" s="204"/>
      <c r="O36" s="204"/>
      <c r="P36" s="187">
        <v>0.8</v>
      </c>
      <c r="Q36" s="188">
        <v>0.2</v>
      </c>
      <c r="R36" s="189" t="s">
        <v>189</v>
      </c>
      <c r="S36" s="330"/>
      <c r="T36" s="204"/>
      <c r="U36" s="204"/>
      <c r="V36" s="540"/>
      <c r="AC36" s="93"/>
      <c r="AD36" s="94"/>
      <c r="AE36" s="94"/>
      <c r="AF36" s="91"/>
    </row>
    <row r="37" spans="1:32" s="192" customFormat="1" ht="13.5" customHeight="1" x14ac:dyDescent="0.2">
      <c r="A37" s="467" t="s">
        <v>158</v>
      </c>
      <c r="B37" s="162"/>
      <c r="C37" s="126" t="s">
        <v>172</v>
      </c>
      <c r="D37" s="74">
        <f>Eingabe_2!E69</f>
        <v>0</v>
      </c>
      <c r="E37" s="74" t="s">
        <v>169</v>
      </c>
      <c r="F37" s="74" t="str">
        <f>Eingabe_2!E68</f>
        <v>RÜB</v>
      </c>
      <c r="G37" s="126" t="str">
        <f>Eingabe_2!E70</f>
        <v>innerorts, geschlossen</v>
      </c>
      <c r="I37" s="74" t="str">
        <f>Eingabe_2!E71</f>
        <v>normal</v>
      </c>
      <c r="J37" s="165">
        <f>IF(D37=0,0,VLOOKUP(AF37,C113:F130,2,FALSE)*(D37^(VLOOKUP(AF37,C113:F130,3,FALSE)))*VLOOKUP(AF37,C113:F130,4,FALSE))</f>
        <v>0</v>
      </c>
      <c r="K37" s="165">
        <f>D37*J37</f>
        <v>0</v>
      </c>
      <c r="L37" s="169">
        <f>Eingabe_2!E72</f>
        <v>0</v>
      </c>
      <c r="M37" s="168" t="str">
        <f>Eingabe_2!E73</f>
        <v>Richtwert</v>
      </c>
      <c r="N37" s="525">
        <f>Eingabe_2!E74</f>
        <v>1</v>
      </c>
      <c r="O37" s="204"/>
      <c r="P37" s="170">
        <f t="shared" ref="P37:Q39" si="14">(IF($M37=$K$4,$K37,$L37)*P$36)</f>
        <v>0</v>
      </c>
      <c r="Q37" s="165">
        <f t="shared" si="14"/>
        <v>0</v>
      </c>
      <c r="R37" s="170" t="str">
        <f>IF(D37&gt;0,1800,"-")</f>
        <v>-</v>
      </c>
      <c r="S37" s="204"/>
      <c r="T37" s="169">
        <f>Eingabe_2!E75</f>
        <v>0</v>
      </c>
      <c r="U37" s="168" t="str">
        <f>Eingabe_2!E76</f>
        <v>Richtwert</v>
      </c>
      <c r="V37" s="539"/>
      <c r="AC37" s="89">
        <f>IF(M37=K$4,K37*N37,L37*N37)</f>
        <v>0</v>
      </c>
      <c r="AD37" s="90">
        <f>IF(U37=T$4,T37,IF(OR(R37="-",S37="-"),0,R37+S37))</f>
        <v>0</v>
      </c>
      <c r="AE37" s="90"/>
      <c r="AF37" s="91" t="str">
        <f>F37&amp;G37&amp;I37</f>
        <v>RÜBinnerorts, geschlossennormal</v>
      </c>
    </row>
    <row r="38" spans="1:32" s="192" customFormat="1" ht="13.5" customHeight="1" x14ac:dyDescent="0.2">
      <c r="A38" s="467" t="s">
        <v>158</v>
      </c>
      <c r="B38" s="162"/>
      <c r="C38" s="126" t="s">
        <v>173</v>
      </c>
      <c r="D38" s="74">
        <f>Eingabe_2!E80</f>
        <v>0</v>
      </c>
      <c r="E38" s="74" t="s">
        <v>169</v>
      </c>
      <c r="F38" s="74" t="str">
        <f>Eingabe_2!E79</f>
        <v>RÜB</v>
      </c>
      <c r="G38" s="126" t="str">
        <f>Eingabe_2!E81</f>
        <v>außerorts, offen</v>
      </c>
      <c r="H38" s="74"/>
      <c r="I38" s="74" t="str">
        <f>Eingabe_2!E82</f>
        <v>normal</v>
      </c>
      <c r="J38" s="165">
        <f>IF(D38=0,0,VLOOKUP(AF38,C113:F130,2,FALSE)*(D38^(VLOOKUP(AF38,C113:F130,3,FALSE)))*VLOOKUP(AF38,C113:F130,4,FALSE))</f>
        <v>0</v>
      </c>
      <c r="K38" s="165">
        <f>D38*J38</f>
        <v>0</v>
      </c>
      <c r="L38" s="169">
        <f>Eingabe_2!E83</f>
        <v>0</v>
      </c>
      <c r="M38" s="168" t="str">
        <f>Eingabe_2!E84</f>
        <v>Richtwert</v>
      </c>
      <c r="N38" s="525">
        <f>Eingabe_2!E85</f>
        <v>1</v>
      </c>
      <c r="O38" s="204"/>
      <c r="P38" s="170">
        <f t="shared" si="14"/>
        <v>0</v>
      </c>
      <c r="Q38" s="165">
        <f t="shared" si="14"/>
        <v>0</v>
      </c>
      <c r="R38" s="170" t="str">
        <f t="shared" ref="R38:R39" si="15">IF(D38&gt;0,1800,"-")</f>
        <v>-</v>
      </c>
      <c r="S38" s="204"/>
      <c r="T38" s="169">
        <f>Eingabe_2!E86</f>
        <v>0</v>
      </c>
      <c r="U38" s="168" t="str">
        <f>Eingabe_2!E87</f>
        <v>Richtwert</v>
      </c>
      <c r="V38" s="539"/>
      <c r="AC38" s="89">
        <f t="shared" ref="AC38:AC39" si="16">IF(M38=K$4,K38*N38,L38*N38)</f>
        <v>0</v>
      </c>
      <c r="AD38" s="90">
        <f>IF(U38=T$4,T38,IF(OR(R38="-",S38="-"),0,R38+S38))</f>
        <v>0</v>
      </c>
      <c r="AE38" s="90"/>
      <c r="AF38" s="91" t="str">
        <f>F38&amp;G38&amp;I38</f>
        <v>RÜBaußerorts, offennormal</v>
      </c>
    </row>
    <row r="39" spans="1:32" s="192" customFormat="1" ht="13.5" customHeight="1" x14ac:dyDescent="0.2">
      <c r="A39" s="467" t="s">
        <v>158</v>
      </c>
      <c r="B39" s="162"/>
      <c r="C39" s="126" t="s">
        <v>174</v>
      </c>
      <c r="D39" s="74">
        <f>Eingabe_2!E91</f>
        <v>0</v>
      </c>
      <c r="E39" s="74" t="s">
        <v>169</v>
      </c>
      <c r="F39" s="74" t="str">
        <f>Eingabe_2!E90</f>
        <v>RÜB</v>
      </c>
      <c r="G39" s="126" t="str">
        <f>Eingabe_2!E92</f>
        <v>außerorts, offen</v>
      </c>
      <c r="H39" s="74"/>
      <c r="I39" s="74" t="str">
        <f>Eingabe_2!E93</f>
        <v>normal</v>
      </c>
      <c r="J39" s="165">
        <f>IF(D39=0,0,VLOOKUP(AF39,C113:F130,2,FALSE)*(D39^(VLOOKUP(AF39,C113:F130,3,FALSE)))*VLOOKUP(AF39,C113:F130,4,FALSE))</f>
        <v>0</v>
      </c>
      <c r="K39" s="165">
        <f>D39*J39</f>
        <v>0</v>
      </c>
      <c r="L39" s="169">
        <f>Eingabe_2!E94</f>
        <v>0</v>
      </c>
      <c r="M39" s="168" t="str">
        <f>Eingabe_2!E95</f>
        <v>Richtwert</v>
      </c>
      <c r="N39" s="525">
        <f>Eingabe_2!E96</f>
        <v>1</v>
      </c>
      <c r="O39" s="204"/>
      <c r="P39" s="170">
        <f t="shared" si="14"/>
        <v>0</v>
      </c>
      <c r="Q39" s="165">
        <f t="shared" si="14"/>
        <v>0</v>
      </c>
      <c r="R39" s="170" t="str">
        <f t="shared" si="15"/>
        <v>-</v>
      </c>
      <c r="S39" s="204"/>
      <c r="T39" s="169">
        <f>Eingabe_2!E97</f>
        <v>0</v>
      </c>
      <c r="U39" s="168" t="str">
        <f>Eingabe_2!E98</f>
        <v>Richtwert</v>
      </c>
      <c r="V39" s="539"/>
      <c r="AC39" s="89">
        <f t="shared" si="16"/>
        <v>0</v>
      </c>
      <c r="AD39" s="90">
        <f>IF(U39=T$4,T39,IF(OR(R39="-",S39="-"),0,R39+S39))</f>
        <v>0</v>
      </c>
      <c r="AE39" s="90"/>
      <c r="AF39" s="91" t="str">
        <f>F39&amp;G39&amp;I39</f>
        <v>RÜBaußerorts, offennormal</v>
      </c>
    </row>
    <row r="40" spans="1:32" s="192" customFormat="1" ht="13.5" customHeight="1" x14ac:dyDescent="0.2">
      <c r="A40" s="467" t="s">
        <v>158</v>
      </c>
      <c r="B40" s="162"/>
      <c r="C40" s="127"/>
      <c r="D40" s="74"/>
      <c r="E40" s="74"/>
      <c r="F40" s="74"/>
      <c r="G40" s="126"/>
      <c r="H40" s="74"/>
      <c r="I40" s="74"/>
      <c r="J40" s="165"/>
      <c r="K40" s="204"/>
      <c r="L40" s="204"/>
      <c r="M40" s="204"/>
      <c r="N40" s="204"/>
      <c r="O40" s="204"/>
      <c r="P40" s="170"/>
      <c r="Q40" s="165"/>
      <c r="R40" s="324"/>
      <c r="S40" s="204"/>
      <c r="T40" s="204"/>
      <c r="U40" s="204"/>
      <c r="V40" s="540"/>
      <c r="AC40" s="89"/>
      <c r="AD40" s="90"/>
      <c r="AE40" s="90"/>
      <c r="AF40" s="91"/>
    </row>
    <row r="41" spans="1:32" s="192" customFormat="1" ht="13.5" customHeight="1" x14ac:dyDescent="0.2">
      <c r="A41" s="467" t="s">
        <v>158</v>
      </c>
      <c r="B41" s="162"/>
      <c r="C41" s="177" t="s">
        <v>26</v>
      </c>
      <c r="D41" s="178"/>
      <c r="E41" s="178"/>
      <c r="F41" s="178"/>
      <c r="G41" s="195"/>
      <c r="H41" s="178"/>
      <c r="I41" s="178"/>
      <c r="J41" s="151"/>
      <c r="K41" s="196">
        <f>SUM(K37:K40)</f>
        <v>0</v>
      </c>
      <c r="L41" s="196">
        <f>SUM(L37:L40)</f>
        <v>0</v>
      </c>
      <c r="M41" s="196">
        <f>AC41</f>
        <v>0</v>
      </c>
      <c r="N41" s="204"/>
      <c r="O41" s="196"/>
      <c r="P41" s="197">
        <f>SUM(P37:P40)</f>
        <v>0</v>
      </c>
      <c r="Q41" s="198">
        <f>SUM(Q37:Q40)</f>
        <v>0</v>
      </c>
      <c r="R41" s="199">
        <f>SUM(R37:R40)</f>
        <v>0</v>
      </c>
      <c r="S41" s="196">
        <f>SUM(S37:S40)</f>
        <v>0</v>
      </c>
      <c r="T41" s="196">
        <f>SUM(T36:T40)</f>
        <v>0</v>
      </c>
      <c r="U41" s="485">
        <f>AD41</f>
        <v>0</v>
      </c>
      <c r="V41" s="540"/>
      <c r="AC41" s="490">
        <f>SUM(AC37:AC40)</f>
        <v>0</v>
      </c>
      <c r="AD41" s="94">
        <f>SUM(AD37:AD40)</f>
        <v>0</v>
      </c>
      <c r="AE41" s="94"/>
      <c r="AF41" s="91"/>
    </row>
    <row r="42" spans="1:32" s="192" customFormat="1" ht="13.5" customHeight="1" thickBot="1" x14ac:dyDescent="0.25">
      <c r="A42" s="467" t="s">
        <v>158</v>
      </c>
      <c r="B42" s="152">
        <v>5</v>
      </c>
      <c r="C42" s="185" t="s">
        <v>28</v>
      </c>
      <c r="D42" s="153"/>
      <c r="E42" s="153"/>
      <c r="F42" s="153"/>
      <c r="G42" s="155"/>
      <c r="H42" s="325" t="str">
        <f>IF(G43=C102,"Ausbaugröße externe KA","")</f>
        <v/>
      </c>
      <c r="I42" s="153"/>
      <c r="J42" s="201"/>
      <c r="K42" s="201"/>
      <c r="L42" s="326"/>
      <c r="M42" s="201"/>
      <c r="N42" s="201"/>
      <c r="O42" s="201"/>
      <c r="P42" s="187">
        <v>0.7</v>
      </c>
      <c r="Q42" s="327">
        <v>0.3</v>
      </c>
      <c r="R42" s="158"/>
      <c r="S42" s="201"/>
      <c r="T42" s="326"/>
      <c r="U42" s="201"/>
      <c r="V42" s="542"/>
      <c r="AC42" s="95"/>
      <c r="AD42" s="90"/>
      <c r="AE42" s="90"/>
      <c r="AF42" s="91"/>
    </row>
    <row r="43" spans="1:32" s="192" customFormat="1" ht="13.5" customHeight="1" thickBot="1" x14ac:dyDescent="0.25">
      <c r="A43" s="467" t="s">
        <v>158</v>
      </c>
      <c r="B43" s="162"/>
      <c r="C43" s="126" t="s">
        <v>191</v>
      </c>
      <c r="D43" s="172">
        <f>Eingabe_2!E101</f>
        <v>0</v>
      </c>
      <c r="E43" s="74" t="s">
        <v>29</v>
      </c>
      <c r="F43" s="202"/>
      <c r="G43" s="276" t="str">
        <f>Eingabe_2!E102</f>
        <v>eigene KA</v>
      </c>
      <c r="H43" s="165">
        <f>Eingabe_2!E103</f>
        <v>0</v>
      </c>
      <c r="I43" s="74" t="str">
        <f>IF(G43=C102,"EW","")</f>
        <v/>
      </c>
      <c r="J43" s="596">
        <f t="shared" ref="J43:J44" si="17">IF(G43=C$102,11183*H43^-0.261*1.45,IF(D43&gt;0,11183*D43^-0.261*1.45,0))</f>
        <v>0</v>
      </c>
      <c r="K43" s="165">
        <f>J43*D43</f>
        <v>0</v>
      </c>
      <c r="L43" s="169">
        <f>Eingabe_2!E104</f>
        <v>0</v>
      </c>
      <c r="M43" s="168" t="str">
        <f>Eingabe_2!E105</f>
        <v>Richtwert</v>
      </c>
      <c r="N43" s="525">
        <f>Eingabe_2!E106</f>
        <v>1</v>
      </c>
      <c r="O43" s="168"/>
      <c r="P43" s="170">
        <f t="shared" ref="P43:Q48" si="18">(IF($M43=$K$4,$K43,$L43)*P$42)</f>
        <v>0</v>
      </c>
      <c r="Q43" s="165">
        <f t="shared" si="18"/>
        <v>0</v>
      </c>
      <c r="R43" s="608">
        <f>IF(G43=C$102,IF(H43&gt;10000,1.4*39.703*H43^-0.079,1.4*491*H43^-0.353),IF(D43&gt;0,IF(D43&gt;10000,1.4*39.703*D43^-0.079,1.4*491*D43^-0.353),0))</f>
        <v>0</v>
      </c>
      <c r="S43" s="165">
        <f>R43*D43</f>
        <v>0</v>
      </c>
      <c r="T43" s="169">
        <f>Eingabe_2!E107</f>
        <v>0</v>
      </c>
      <c r="U43" s="168" t="str">
        <f>Eingabe_2!E108</f>
        <v>Richtwert</v>
      </c>
      <c r="V43" s="539"/>
      <c r="AC43" s="89">
        <f>IF(M43=K$4,K43*N43,L43*N43)</f>
        <v>0</v>
      </c>
      <c r="AD43" s="90">
        <f t="shared" ref="AD43:AD45" si="19">IF(U43=$S$4,S43,T43)</f>
        <v>0</v>
      </c>
      <c r="AE43" s="90"/>
      <c r="AF43" s="96"/>
    </row>
    <row r="44" spans="1:32" s="192" customFormat="1" ht="13.5" customHeight="1" thickBot="1" x14ac:dyDescent="0.25">
      <c r="A44" s="467" t="s">
        <v>63</v>
      </c>
      <c r="B44" s="162"/>
      <c r="C44" s="126" t="s">
        <v>192</v>
      </c>
      <c r="D44" s="172">
        <f>Eingabe_2!E111</f>
        <v>0</v>
      </c>
      <c r="E44" s="74" t="s">
        <v>29</v>
      </c>
      <c r="F44" s="276"/>
      <c r="G44" s="276" t="str">
        <f>Eingabe_2!E112</f>
        <v>eigene KA</v>
      </c>
      <c r="H44" s="165">
        <f>Eingabe_2!E113</f>
        <v>0</v>
      </c>
      <c r="I44" s="74" t="str">
        <f>IF(G44=C102,"EW","")</f>
        <v/>
      </c>
      <c r="J44" s="596">
        <f t="shared" si="17"/>
        <v>0</v>
      </c>
      <c r="K44" s="165">
        <f>J44*D44</f>
        <v>0</v>
      </c>
      <c r="L44" s="169">
        <f>Eingabe_2!E114</f>
        <v>0</v>
      </c>
      <c r="M44" s="168" t="str">
        <f>Eingabe_2!E115</f>
        <v>Richtwert</v>
      </c>
      <c r="N44" s="525">
        <f>Eingabe_2!E116</f>
        <v>1</v>
      </c>
      <c r="O44" s="168"/>
      <c r="P44" s="170">
        <f t="shared" si="18"/>
        <v>0</v>
      </c>
      <c r="Q44" s="165">
        <f t="shared" si="18"/>
        <v>0</v>
      </c>
      <c r="R44" s="608">
        <f t="shared" ref="R44:R45" si="20">IF(G44=C$102,IF(H44&gt;10000,1.4*39.703*H44^-0.079,1.4*491*H44^-0.353),IF(D44&gt;0,IF(D44&gt;10000,1.4*39.703*D44^-0.079,1.4*491*D44^-0.353),0))</f>
        <v>0</v>
      </c>
      <c r="S44" s="165">
        <f>R44*D44</f>
        <v>0</v>
      </c>
      <c r="T44" s="169">
        <f>Eingabe_2!E117</f>
        <v>0</v>
      </c>
      <c r="U44" s="168" t="str">
        <f>Eingabe_2!E118</f>
        <v>Richtwert</v>
      </c>
      <c r="V44" s="539"/>
      <c r="AC44" s="89">
        <f t="shared" ref="AC44:AC48" si="21">IF(M44=K$4,K44*N44,L44*N44)</f>
        <v>0</v>
      </c>
      <c r="AD44" s="90">
        <f t="shared" si="19"/>
        <v>0</v>
      </c>
      <c r="AE44" s="90"/>
      <c r="AF44" s="96"/>
    </row>
    <row r="45" spans="1:32" s="192" customFormat="1" ht="13.5" customHeight="1" thickBot="1" x14ac:dyDescent="0.25">
      <c r="A45" s="467" t="s">
        <v>63</v>
      </c>
      <c r="B45" s="162"/>
      <c r="C45" s="126" t="s">
        <v>193</v>
      </c>
      <c r="D45" s="172">
        <f>Eingabe_2!E121</f>
        <v>0</v>
      </c>
      <c r="E45" s="74" t="s">
        <v>29</v>
      </c>
      <c r="F45" s="276"/>
      <c r="G45" s="276" t="str">
        <f>Eingabe_2!E122</f>
        <v>eigene KA</v>
      </c>
      <c r="H45" s="165">
        <f>Eingabe_2!E123</f>
        <v>0</v>
      </c>
      <c r="I45" s="74" t="str">
        <f>IF(G45=C102,"EW","")</f>
        <v/>
      </c>
      <c r="J45" s="596">
        <f>IF(G45=C$102,11183*H45^-0.261*1.45,IF(D45&gt;0,11183*D45^-0.261*1.45,0))</f>
        <v>0</v>
      </c>
      <c r="K45" s="165">
        <f>J45*D45</f>
        <v>0</v>
      </c>
      <c r="L45" s="169">
        <f>Eingabe_2!E124</f>
        <v>0</v>
      </c>
      <c r="M45" s="168" t="str">
        <f>Eingabe_2!E125</f>
        <v>Richtwert</v>
      </c>
      <c r="N45" s="525">
        <f>Eingabe_2!E126</f>
        <v>1</v>
      </c>
      <c r="O45" s="168"/>
      <c r="P45" s="170">
        <f t="shared" si="18"/>
        <v>0</v>
      </c>
      <c r="Q45" s="165">
        <f t="shared" si="18"/>
        <v>0</v>
      </c>
      <c r="R45" s="608">
        <f t="shared" si="20"/>
        <v>0</v>
      </c>
      <c r="S45" s="165">
        <f>R45*D45</f>
        <v>0</v>
      </c>
      <c r="T45" s="169">
        <f>Eingabe_2!E127</f>
        <v>0</v>
      </c>
      <c r="U45" s="168" t="str">
        <f>Eingabe_2!E128</f>
        <v>Richtwert</v>
      </c>
      <c r="V45" s="539"/>
      <c r="AC45" s="89">
        <f t="shared" si="21"/>
        <v>0</v>
      </c>
      <c r="AD45" s="90">
        <f t="shared" si="19"/>
        <v>0</v>
      </c>
      <c r="AE45" s="90"/>
      <c r="AF45" s="96"/>
    </row>
    <row r="46" spans="1:32" s="192" customFormat="1" ht="13.5" customHeight="1" x14ac:dyDescent="0.2">
      <c r="A46" s="467" t="s">
        <v>63</v>
      </c>
      <c r="B46" s="162"/>
      <c r="C46" s="420" t="s">
        <v>230</v>
      </c>
      <c r="D46" s="174">
        <f>Eingabe_2!E131</f>
        <v>0</v>
      </c>
      <c r="E46" s="74" t="s">
        <v>29</v>
      </c>
      <c r="F46" s="276"/>
      <c r="G46" s="276">
        <f>Eingabe_2!E132</f>
        <v>0</v>
      </c>
      <c r="H46" s="168" t="s">
        <v>128</v>
      </c>
      <c r="I46" s="74"/>
      <c r="J46" s="596">
        <f>IF(D46&gt;0,2802.7*D46^-0.244*1.48,0)</f>
        <v>0</v>
      </c>
      <c r="K46" s="165">
        <f>D46*J46*G46</f>
        <v>0</v>
      </c>
      <c r="L46" s="340">
        <f>Eingabe_2!E133*G46</f>
        <v>0</v>
      </c>
      <c r="M46" s="168" t="str">
        <f>Eingabe_2!E134</f>
        <v>Richtwert</v>
      </c>
      <c r="N46" s="525">
        <f>Eingabe_2!E135</f>
        <v>1</v>
      </c>
      <c r="O46" s="168"/>
      <c r="P46" s="170">
        <f t="shared" si="18"/>
        <v>0</v>
      </c>
      <c r="Q46" s="165">
        <f t="shared" si="18"/>
        <v>0</v>
      </c>
      <c r="R46" s="170">
        <f>IF(D46&gt;0,D46*186.89*D46^(-0.047),0)</f>
        <v>0</v>
      </c>
      <c r="S46" s="165">
        <f>R46*G46</f>
        <v>0</v>
      </c>
      <c r="T46" s="340">
        <f>Eingabe_2!E136*G46</f>
        <v>0</v>
      </c>
      <c r="U46" s="168" t="str">
        <f>Eingabe_2!E137</f>
        <v>Richtwert</v>
      </c>
      <c r="V46" s="539" t="str">
        <f>Eingabe_2!E138</f>
        <v>Dauerhaft</v>
      </c>
      <c r="AC46" s="89">
        <f t="shared" si="21"/>
        <v>0</v>
      </c>
      <c r="AD46" s="578">
        <f>IF(V46="Dauerhaft",IF((U46=$S$4),S46,T46),0)</f>
        <v>0</v>
      </c>
      <c r="AE46" s="578">
        <f>IF(V46="15 Jahre",IF((U46=$S$4),S46,T46),0)</f>
        <v>0</v>
      </c>
      <c r="AF46" s="96"/>
    </row>
    <row r="47" spans="1:32" s="192" customFormat="1" ht="13.5" customHeight="1" x14ac:dyDescent="0.2">
      <c r="A47" s="467" t="s">
        <v>63</v>
      </c>
      <c r="B47" s="162"/>
      <c r="C47" s="420" t="s">
        <v>231</v>
      </c>
      <c r="D47" s="174">
        <f>Eingabe_2!E140</f>
        <v>0</v>
      </c>
      <c r="E47" s="74" t="s">
        <v>29</v>
      </c>
      <c r="F47" s="276"/>
      <c r="G47" s="276">
        <f>Eingabe_2!E141</f>
        <v>0</v>
      </c>
      <c r="H47" s="168" t="s">
        <v>128</v>
      </c>
      <c r="I47" s="74"/>
      <c r="J47" s="596">
        <f t="shared" ref="J47:J48" si="22">IF(D47&gt;0,2802.7*D47^-0.244*1.48,0)</f>
        <v>0</v>
      </c>
      <c r="K47" s="165">
        <f>D47*J47*G47</f>
        <v>0</v>
      </c>
      <c r="L47" s="340">
        <f>Eingabe_2!E142*G47</f>
        <v>0</v>
      </c>
      <c r="M47" s="168" t="str">
        <f>Eingabe_2!E143</f>
        <v>Richtwert</v>
      </c>
      <c r="N47" s="525">
        <f>Eingabe_2!E144</f>
        <v>1</v>
      </c>
      <c r="O47" s="168"/>
      <c r="P47" s="170">
        <f t="shared" si="18"/>
        <v>0</v>
      </c>
      <c r="Q47" s="165">
        <f t="shared" si="18"/>
        <v>0</v>
      </c>
      <c r="R47" s="170">
        <f t="shared" ref="R47:R48" si="23">IF(D47&gt;0,D47*186.89*D47^(-0.047),0)</f>
        <v>0</v>
      </c>
      <c r="S47" s="165">
        <f>R47*G47</f>
        <v>0</v>
      </c>
      <c r="T47" s="340">
        <f>Eingabe_2!E145*G47</f>
        <v>0</v>
      </c>
      <c r="U47" s="168" t="str">
        <f>Eingabe_2!E146</f>
        <v>Richtwert</v>
      </c>
      <c r="V47" s="539" t="str">
        <f>Eingabe_2!E147</f>
        <v>Dauerhaft</v>
      </c>
      <c r="AC47" s="89">
        <f t="shared" si="21"/>
        <v>0</v>
      </c>
      <c r="AD47" s="578">
        <f t="shared" ref="AD47:AD48" si="24">IF(V47="Dauerhaft",IF((U47=$S$4),S47,T47),0)</f>
        <v>0</v>
      </c>
      <c r="AE47" s="578">
        <f t="shared" ref="AE47:AE48" si="25">IF(V47="15 Jahre",IF((U47=$S$4),S47,T47),0)</f>
        <v>0</v>
      </c>
      <c r="AF47" s="96"/>
    </row>
    <row r="48" spans="1:32" s="192" customFormat="1" ht="13.5" customHeight="1" x14ac:dyDescent="0.2">
      <c r="A48" s="467" t="s">
        <v>63</v>
      </c>
      <c r="B48" s="162"/>
      <c r="C48" s="420" t="s">
        <v>232</v>
      </c>
      <c r="D48" s="174">
        <f>Eingabe_2!E149</f>
        <v>0</v>
      </c>
      <c r="E48" s="74" t="s">
        <v>29</v>
      </c>
      <c r="F48" s="74"/>
      <c r="G48" s="276">
        <f>Eingabe_2!E150</f>
        <v>0</v>
      </c>
      <c r="H48" s="168" t="s">
        <v>128</v>
      </c>
      <c r="I48" s="74"/>
      <c r="J48" s="596">
        <f t="shared" si="22"/>
        <v>0</v>
      </c>
      <c r="K48" s="165">
        <f>D48*J48*G48</f>
        <v>0</v>
      </c>
      <c r="L48" s="340">
        <f>Eingabe_2!E151*G48</f>
        <v>0</v>
      </c>
      <c r="M48" s="168" t="str">
        <f>Eingabe_2!E152</f>
        <v>Richtwert</v>
      </c>
      <c r="N48" s="525">
        <f>Eingabe_2!E153</f>
        <v>1</v>
      </c>
      <c r="O48" s="168"/>
      <c r="P48" s="170">
        <f t="shared" si="18"/>
        <v>0</v>
      </c>
      <c r="Q48" s="165">
        <f t="shared" si="18"/>
        <v>0</v>
      </c>
      <c r="R48" s="170">
        <f t="shared" si="23"/>
        <v>0</v>
      </c>
      <c r="S48" s="165">
        <f>R48*G48</f>
        <v>0</v>
      </c>
      <c r="T48" s="340">
        <f>Eingabe_2!E154*G48</f>
        <v>0</v>
      </c>
      <c r="U48" s="168" t="str">
        <f>Eingabe_2!E155</f>
        <v>Richtwert</v>
      </c>
      <c r="V48" s="539" t="str">
        <f>Eingabe_2!E156</f>
        <v>Dauerhaft</v>
      </c>
      <c r="AC48" s="89">
        <f t="shared" si="21"/>
        <v>0</v>
      </c>
      <c r="AD48" s="578">
        <f t="shared" si="24"/>
        <v>0</v>
      </c>
      <c r="AE48" s="578">
        <f t="shared" si="25"/>
        <v>0</v>
      </c>
      <c r="AF48" s="96"/>
    </row>
    <row r="49" spans="1:32" s="192" customFormat="1" ht="13.5" customHeight="1" x14ac:dyDescent="0.2">
      <c r="A49" s="467" t="s">
        <v>63</v>
      </c>
      <c r="B49" s="162"/>
      <c r="C49" s="127" t="s">
        <v>265</v>
      </c>
      <c r="D49" s="74"/>
      <c r="E49" s="74"/>
      <c r="F49" s="74"/>
      <c r="G49" s="126"/>
      <c r="H49" s="74"/>
      <c r="I49" s="74"/>
      <c r="J49" s="165"/>
      <c r="K49" s="477">
        <f>SUM(K43:K48)</f>
        <v>0</v>
      </c>
      <c r="L49" s="478">
        <f>SUM(L43:L48)</f>
        <v>0</v>
      </c>
      <c r="M49" s="479">
        <f>AC49</f>
        <v>0</v>
      </c>
      <c r="N49" s="204"/>
      <c r="O49" s="204"/>
      <c r="P49" s="480">
        <f>SUM(P43:P48)</f>
        <v>0</v>
      </c>
      <c r="Q49" s="555">
        <f>SUM(Q43:Q48)</f>
        <v>0</v>
      </c>
      <c r="R49" s="170"/>
      <c r="S49" s="477">
        <f>SUM(S43:S45)+SUMIF(V46:V48,"Dauerhaft",S46:S48)</f>
        <v>0</v>
      </c>
      <c r="T49" s="478">
        <f>SUM(T43:T48)</f>
        <v>0</v>
      </c>
      <c r="U49" s="477">
        <f>AD49</f>
        <v>0</v>
      </c>
      <c r="V49" s="540"/>
      <c r="AC49" s="93">
        <f>SUM(AC43:AC48)</f>
        <v>0</v>
      </c>
      <c r="AD49" s="94">
        <f>SUM(AD43:AD48)</f>
        <v>0</v>
      </c>
      <c r="AE49" s="94"/>
      <c r="AF49" s="96"/>
    </row>
    <row r="50" spans="1:32" s="192" customFormat="1" ht="13.5" customHeight="1" x14ac:dyDescent="0.2">
      <c r="A50" s="467"/>
      <c r="B50" s="162"/>
      <c r="C50" s="558" t="s">
        <v>266</v>
      </c>
      <c r="D50" s="74"/>
      <c r="E50" s="74"/>
      <c r="F50" s="74"/>
      <c r="G50" s="126"/>
      <c r="H50" s="74"/>
      <c r="I50" s="74"/>
      <c r="J50" s="165"/>
      <c r="K50" s="204"/>
      <c r="L50" s="213"/>
      <c r="M50" s="204"/>
      <c r="N50" s="204"/>
      <c r="O50" s="204"/>
      <c r="P50" s="170"/>
      <c r="Q50" s="165"/>
      <c r="R50" s="170"/>
      <c r="S50" s="560">
        <f>SUMIF(V46:V48,"15 Jahre",S46:S48)</f>
        <v>0</v>
      </c>
      <c r="T50" s="560"/>
      <c r="U50" s="560">
        <f>AE50</f>
        <v>0</v>
      </c>
      <c r="V50" s="540"/>
      <c r="AC50" s="93"/>
      <c r="AD50" s="94"/>
      <c r="AE50" s="563">
        <f>SUM(AE46:AE48)</f>
        <v>0</v>
      </c>
      <c r="AF50" s="96"/>
    </row>
    <row r="51" spans="1:32" s="192" customFormat="1" ht="13.5" customHeight="1" x14ac:dyDescent="0.2">
      <c r="A51" s="467"/>
      <c r="B51" s="152">
        <v>6</v>
      </c>
      <c r="C51" s="185" t="s">
        <v>251</v>
      </c>
      <c r="D51" s="153"/>
      <c r="E51" s="153"/>
      <c r="F51" s="153"/>
      <c r="G51" s="155"/>
      <c r="H51" s="153"/>
      <c r="I51" s="153"/>
      <c r="J51" s="201"/>
      <c r="K51" s="375"/>
      <c r="L51" s="376"/>
      <c r="M51" s="375"/>
      <c r="N51" s="375"/>
      <c r="O51" s="377"/>
      <c r="P51" s="158"/>
      <c r="Q51" s="159"/>
      <c r="R51" s="158"/>
      <c r="S51" s="375"/>
      <c r="T51" s="376"/>
      <c r="U51" s="375"/>
      <c r="V51" s="540"/>
      <c r="AC51" s="89"/>
      <c r="AD51" s="90"/>
      <c r="AE51" s="90"/>
      <c r="AF51" s="96"/>
    </row>
    <row r="52" spans="1:32" s="192" customFormat="1" ht="13.5" customHeight="1" x14ac:dyDescent="0.2">
      <c r="A52" s="467"/>
      <c r="B52" s="483"/>
      <c r="C52" s="420" t="s">
        <v>248</v>
      </c>
      <c r="D52" s="464"/>
      <c r="E52" s="464"/>
      <c r="F52" s="464"/>
      <c r="G52" s="420"/>
      <c r="H52" s="464"/>
      <c r="I52" s="464"/>
      <c r="J52" s="165"/>
      <c r="K52" s="165"/>
      <c r="L52" s="186">
        <f>Eingabe_2!E159</f>
        <v>0</v>
      </c>
      <c r="M52" s="165"/>
      <c r="N52" s="165"/>
      <c r="O52" s="173"/>
      <c r="P52" s="170"/>
      <c r="Q52" s="173"/>
      <c r="R52" s="170"/>
      <c r="S52" s="165"/>
      <c r="T52" s="186"/>
      <c r="U52" s="165"/>
      <c r="V52" s="542"/>
      <c r="AC52" s="89">
        <f t="shared" ref="AC52:AC54" si="26">IF(M52=K$4,K52,L52)</f>
        <v>0</v>
      </c>
      <c r="AD52" s="90">
        <f t="shared" ref="AD52:AD54" si="27">IF(U52=$S$4,S52,T52)</f>
        <v>0</v>
      </c>
      <c r="AE52" s="90"/>
      <c r="AF52" s="96"/>
    </row>
    <row r="53" spans="1:32" s="192" customFormat="1" ht="13.5" customHeight="1" x14ac:dyDescent="0.2">
      <c r="A53" s="467"/>
      <c r="B53" s="483"/>
      <c r="C53" s="420" t="s">
        <v>249</v>
      </c>
      <c r="D53" s="464"/>
      <c r="E53" s="464"/>
      <c r="F53" s="464"/>
      <c r="G53" s="420"/>
      <c r="H53" s="464"/>
      <c r="I53" s="464"/>
      <c r="J53" s="165"/>
      <c r="K53" s="165"/>
      <c r="L53" s="186">
        <f>Eingabe_2!E160</f>
        <v>0</v>
      </c>
      <c r="M53" s="165"/>
      <c r="N53" s="165"/>
      <c r="O53" s="173"/>
      <c r="P53" s="170"/>
      <c r="Q53" s="173"/>
      <c r="R53" s="170"/>
      <c r="S53" s="165"/>
      <c r="T53" s="186"/>
      <c r="U53" s="165"/>
      <c r="V53" s="542"/>
      <c r="AC53" s="89">
        <f t="shared" si="26"/>
        <v>0</v>
      </c>
      <c r="AD53" s="90">
        <f t="shared" si="27"/>
        <v>0</v>
      </c>
      <c r="AE53" s="90"/>
      <c r="AF53" s="96"/>
    </row>
    <row r="54" spans="1:32" s="192" customFormat="1" ht="13.5" customHeight="1" x14ac:dyDescent="0.2">
      <c r="A54" s="467"/>
      <c r="B54" s="483"/>
      <c r="C54" s="420" t="s">
        <v>250</v>
      </c>
      <c r="D54" s="464"/>
      <c r="E54" s="464"/>
      <c r="F54" s="464"/>
      <c r="G54" s="420"/>
      <c r="H54" s="464"/>
      <c r="I54" s="464"/>
      <c r="J54" s="165"/>
      <c r="K54" s="165"/>
      <c r="L54" s="186">
        <f>Eingabe_2!E161</f>
        <v>0</v>
      </c>
      <c r="M54" s="165"/>
      <c r="N54" s="165"/>
      <c r="O54" s="173"/>
      <c r="P54" s="170"/>
      <c r="Q54" s="173"/>
      <c r="R54" s="170"/>
      <c r="S54" s="165"/>
      <c r="T54" s="186"/>
      <c r="U54" s="165"/>
      <c r="V54" s="542"/>
      <c r="AC54" s="89">
        <f t="shared" si="26"/>
        <v>0</v>
      </c>
      <c r="AD54" s="90">
        <f t="shared" si="27"/>
        <v>0</v>
      </c>
      <c r="AE54" s="90"/>
      <c r="AF54" s="96"/>
    </row>
    <row r="55" spans="1:32" ht="13.5" customHeight="1" thickBot="1" x14ac:dyDescent="0.25">
      <c r="A55" s="467" t="s">
        <v>63</v>
      </c>
      <c r="B55" s="176"/>
      <c r="C55" s="177" t="s">
        <v>26</v>
      </c>
      <c r="D55" s="178"/>
      <c r="E55" s="178"/>
      <c r="F55" s="178"/>
      <c r="G55" s="195"/>
      <c r="H55" s="178"/>
      <c r="I55" s="178"/>
      <c r="J55" s="151"/>
      <c r="K55" s="196">
        <f>SUM(K52:K54)</f>
        <v>0</v>
      </c>
      <c r="L55" s="488">
        <f>SUM(L52:L54)</f>
        <v>0</v>
      </c>
      <c r="M55" s="485">
        <f>AC55</f>
        <v>0</v>
      </c>
      <c r="N55" s="182"/>
      <c r="O55" s="182"/>
      <c r="P55" s="197">
        <f>SUM(P48:P54)</f>
        <v>0</v>
      </c>
      <c r="Q55" s="486">
        <f>SUM(Q48:Q54)</f>
        <v>0</v>
      </c>
      <c r="R55" s="150"/>
      <c r="S55" s="487"/>
      <c r="T55" s="488"/>
      <c r="U55" s="533"/>
      <c r="V55" s="543"/>
      <c r="AC55" s="97">
        <f>SUM(AC52:AC54)</f>
        <v>0</v>
      </c>
      <c r="AD55" s="98">
        <f>SUM(AD52:AD54)</f>
        <v>0</v>
      </c>
      <c r="AE55" s="98"/>
      <c r="AF55" s="585"/>
    </row>
    <row r="56" spans="1:32" ht="13.5" customHeight="1" x14ac:dyDescent="0.2">
      <c r="A56" s="467"/>
      <c r="B56" s="162"/>
      <c r="C56" s="127"/>
      <c r="J56" s="165"/>
      <c r="K56" s="204"/>
      <c r="L56" s="326"/>
      <c r="M56" s="204"/>
      <c r="N56" s="204"/>
      <c r="O56" s="204"/>
      <c r="P56" s="170"/>
      <c r="Q56" s="165"/>
      <c r="R56" s="165"/>
      <c r="S56" s="204"/>
      <c r="T56" s="213"/>
      <c r="U56" s="204"/>
      <c r="V56" s="554"/>
      <c r="AC56" s="94"/>
      <c r="AD56" s="94"/>
      <c r="AE56" s="94"/>
    </row>
    <row r="57" spans="1:32" ht="13.5" customHeight="1" x14ac:dyDescent="0.2">
      <c r="A57" s="467" t="s">
        <v>63</v>
      </c>
      <c r="B57" s="162"/>
      <c r="C57" s="203" t="s">
        <v>30</v>
      </c>
      <c r="D57" s="174"/>
      <c r="G57" s="127"/>
      <c r="J57" s="165"/>
      <c r="K57" s="204">
        <f>K11+K25+K35+K41+K49</f>
        <v>0</v>
      </c>
      <c r="L57" s="205">
        <f>L11+L25+L35+L41+L49+L55</f>
        <v>0</v>
      </c>
      <c r="M57" s="204">
        <f>M11+M25+M35+M41+M49+M55</f>
        <v>0</v>
      </c>
      <c r="N57" s="204"/>
      <c r="O57" s="204"/>
      <c r="P57" s="206">
        <f>P11+P35+P41+P49</f>
        <v>0</v>
      </c>
      <c r="Q57" s="207">
        <f>Q11+Q35+Q41+Q49</f>
        <v>0</v>
      </c>
      <c r="R57" s="165"/>
      <c r="S57" s="204">
        <f>S11+S25+R35+S35+R41+S49</f>
        <v>0</v>
      </c>
      <c r="T57" s="484">
        <f>T11+T25+T35+T41+T49</f>
        <v>0</v>
      </c>
      <c r="U57" s="204">
        <f>U11+U25+U35+U41+U49</f>
        <v>0</v>
      </c>
      <c r="V57" s="540"/>
    </row>
    <row r="58" spans="1:32" ht="13.5" customHeight="1" x14ac:dyDescent="0.2">
      <c r="A58" s="467"/>
      <c r="B58" s="162"/>
      <c r="C58" s="564" t="s">
        <v>267</v>
      </c>
      <c r="D58" s="174"/>
      <c r="G58" s="127"/>
      <c r="J58" s="165"/>
      <c r="K58" s="204"/>
      <c r="L58" s="213"/>
      <c r="M58" s="204"/>
      <c r="N58" s="204"/>
      <c r="O58" s="204"/>
      <c r="P58" s="206"/>
      <c r="Q58" s="207"/>
      <c r="R58" s="165"/>
      <c r="S58" s="204"/>
      <c r="T58" s="213"/>
      <c r="U58" s="560">
        <f>U50</f>
        <v>0</v>
      </c>
      <c r="V58" s="540"/>
    </row>
    <row r="59" spans="1:32" ht="13.5" customHeight="1" x14ac:dyDescent="0.2">
      <c r="B59" s="176"/>
      <c r="C59" s="208"/>
      <c r="D59" s="209"/>
      <c r="E59" s="178"/>
      <c r="F59" s="178"/>
      <c r="G59" s="177"/>
      <c r="H59" s="178"/>
      <c r="I59" s="178"/>
      <c r="J59" s="151"/>
      <c r="K59" s="182"/>
      <c r="L59" s="210"/>
      <c r="M59" s="182"/>
      <c r="N59" s="182"/>
      <c r="O59" s="182"/>
      <c r="P59" s="211"/>
      <c r="Q59" s="212"/>
      <c r="R59" s="151"/>
      <c r="S59" s="151"/>
      <c r="T59" s="210"/>
      <c r="U59" s="182"/>
      <c r="V59" s="543"/>
    </row>
    <row r="60" spans="1:32" ht="13.5" customHeight="1" x14ac:dyDescent="0.2">
      <c r="C60" s="203"/>
      <c r="D60" s="174"/>
      <c r="G60" s="127"/>
      <c r="J60" s="165"/>
      <c r="K60" s="204"/>
      <c r="L60" s="213"/>
      <c r="M60" s="204"/>
      <c r="N60" s="204"/>
      <c r="O60" s="204"/>
      <c r="P60" s="204"/>
      <c r="Q60" s="214"/>
      <c r="R60" s="165"/>
      <c r="S60" s="165"/>
      <c r="T60" s="165"/>
      <c r="U60" s="165"/>
      <c r="V60" s="544"/>
    </row>
    <row r="61" spans="1:32" ht="13.5" customHeight="1" x14ac:dyDescent="0.2">
      <c r="C61" s="203"/>
      <c r="D61" s="174"/>
      <c r="G61" s="127"/>
      <c r="J61" s="165"/>
      <c r="K61" s="607"/>
      <c r="L61" s="213"/>
      <c r="M61" s="204"/>
      <c r="N61" s="204"/>
      <c r="O61" s="204"/>
      <c r="P61" s="204"/>
      <c r="Q61" s="215"/>
      <c r="R61" s="165"/>
      <c r="S61" s="165"/>
      <c r="T61" s="165"/>
      <c r="U61" s="165"/>
      <c r="V61" s="544"/>
    </row>
    <row r="62" spans="1:32" ht="13.5" customHeight="1" thickBot="1" x14ac:dyDescent="0.25">
      <c r="C62" s="125" t="s">
        <v>31</v>
      </c>
      <c r="D62" s="216">
        <f>Eingabe_2!E166</f>
        <v>3</v>
      </c>
      <c r="E62" s="217" t="s">
        <v>10</v>
      </c>
      <c r="F62" s="218" t="s">
        <v>32</v>
      </c>
      <c r="H62" s="219"/>
      <c r="I62" s="219"/>
      <c r="K62" s="200"/>
      <c r="L62" s="220"/>
      <c r="M62" s="200"/>
      <c r="N62" s="200"/>
      <c r="O62" s="200"/>
      <c r="R62" s="221"/>
    </row>
    <row r="63" spans="1:32" ht="13.5" customHeight="1" x14ac:dyDescent="0.2">
      <c r="C63" s="74"/>
      <c r="D63" s="222">
        <f>Eingabe_2!E167</f>
        <v>2</v>
      </c>
      <c r="E63" s="217" t="s">
        <v>10</v>
      </c>
      <c r="F63" s="218" t="s">
        <v>33</v>
      </c>
      <c r="H63" s="219"/>
      <c r="I63" s="219"/>
      <c r="J63" s="74"/>
      <c r="K63" s="200"/>
      <c r="L63" s="220"/>
      <c r="M63" s="200"/>
      <c r="N63" s="200"/>
      <c r="O63" s="200"/>
    </row>
    <row r="64" spans="1:32" ht="13.5" customHeight="1" x14ac:dyDescent="0.2">
      <c r="C64" s="74"/>
      <c r="D64" s="222"/>
      <c r="E64" s="217"/>
      <c r="F64" s="217"/>
      <c r="G64" s="218"/>
      <c r="H64" s="219"/>
      <c r="I64" s="219"/>
      <c r="J64" s="223" t="s">
        <v>34</v>
      </c>
      <c r="K64" s="200"/>
      <c r="L64" s="220"/>
      <c r="M64" s="200"/>
      <c r="N64" s="200"/>
      <c r="O64" s="200"/>
      <c r="P64" s="224"/>
      <c r="W64" s="225" t="s">
        <v>35</v>
      </c>
    </row>
    <row r="65" spans="2:23" ht="13.5" customHeight="1" x14ac:dyDescent="0.2">
      <c r="B65" s="226"/>
      <c r="C65" s="227" t="s">
        <v>36</v>
      </c>
      <c r="D65" s="228"/>
      <c r="E65" s="228"/>
      <c r="F65" s="228"/>
      <c r="G65" s="227"/>
      <c r="H65" s="228"/>
      <c r="I65" s="228"/>
      <c r="J65" s="279"/>
      <c r="K65" s="228"/>
      <c r="L65" s="231"/>
      <c r="M65" s="231">
        <f>M57</f>
        <v>0</v>
      </c>
      <c r="N65" s="231"/>
      <c r="O65" s="231"/>
      <c r="P65" s="232"/>
      <c r="Q65" s="233"/>
      <c r="R65" s="230"/>
      <c r="S65" s="234"/>
      <c r="T65" s="235"/>
      <c r="U65" s="235"/>
      <c r="V65" s="545"/>
      <c r="W65" s="236">
        <f>M65</f>
        <v>0</v>
      </c>
    </row>
    <row r="66" spans="2:23" ht="13.5" customHeight="1" x14ac:dyDescent="0.2">
      <c r="B66" s="226"/>
      <c r="C66" s="237" t="s">
        <v>37</v>
      </c>
      <c r="D66" s="238">
        <v>12.5</v>
      </c>
      <c r="E66" s="239" t="s">
        <v>38</v>
      </c>
      <c r="F66" s="239"/>
      <c r="G66" s="227"/>
      <c r="H66" s="228"/>
      <c r="I66" s="228"/>
      <c r="J66" s="240">
        <f>1/(1+D62/100)^D66</f>
        <v>0.69109013106950024</v>
      </c>
      <c r="K66" s="241"/>
      <c r="L66" s="242"/>
      <c r="M66" s="231"/>
      <c r="N66" s="231"/>
      <c r="O66" s="231"/>
      <c r="P66" s="243"/>
      <c r="Q66" s="244">
        <f>Q57</f>
        <v>0</v>
      </c>
      <c r="R66" s="230"/>
      <c r="S66" s="234"/>
      <c r="T66" s="235"/>
      <c r="U66" s="235"/>
      <c r="V66" s="545"/>
      <c r="W66" s="244">
        <f>(P66+Q66)*J66</f>
        <v>0</v>
      </c>
    </row>
    <row r="67" spans="2:23" ht="13.5" customHeight="1" x14ac:dyDescent="0.2">
      <c r="B67" s="226"/>
      <c r="C67" s="237" t="s">
        <v>37</v>
      </c>
      <c r="D67" s="238">
        <v>26</v>
      </c>
      <c r="E67" s="239" t="s">
        <v>38</v>
      </c>
      <c r="F67" s="239"/>
      <c r="G67" s="227"/>
      <c r="H67" s="228"/>
      <c r="I67" s="228"/>
      <c r="J67" s="240">
        <f>1/(1+D62/100)^D67</f>
        <v>0.46369472743850448</v>
      </c>
      <c r="K67" s="231"/>
      <c r="L67" s="242"/>
      <c r="M67" s="231"/>
      <c r="N67" s="231"/>
      <c r="O67" s="231"/>
      <c r="P67" s="245">
        <f>P57</f>
        <v>0</v>
      </c>
      <c r="Q67" s="244">
        <f>Q57</f>
        <v>0</v>
      </c>
      <c r="R67" s="230"/>
      <c r="S67" s="234"/>
      <c r="T67" s="235"/>
      <c r="U67" s="235"/>
      <c r="V67" s="545"/>
      <c r="W67" s="244">
        <f>(P67+Q67)*J67</f>
        <v>0</v>
      </c>
    </row>
    <row r="68" spans="2:23" ht="13.5" customHeight="1" x14ac:dyDescent="0.2">
      <c r="B68" s="226"/>
      <c r="C68" s="237" t="s">
        <v>37</v>
      </c>
      <c r="D68" s="238">
        <v>37.5</v>
      </c>
      <c r="E68" s="239" t="s">
        <v>38</v>
      </c>
      <c r="F68" s="239"/>
      <c r="G68" s="227"/>
      <c r="H68" s="228"/>
      <c r="I68" s="228"/>
      <c r="J68" s="240">
        <f>1/(1+D62/100)^D68</f>
        <v>0.33006849546056333</v>
      </c>
      <c r="K68" s="235"/>
      <c r="L68" s="242"/>
      <c r="M68" s="235"/>
      <c r="N68" s="235"/>
      <c r="O68" s="235"/>
      <c r="P68" s="243"/>
      <c r="Q68" s="234">
        <f>Q57</f>
        <v>0</v>
      </c>
      <c r="R68" s="230"/>
      <c r="S68" s="159"/>
      <c r="T68" s="235"/>
      <c r="U68" s="235"/>
      <c r="V68" s="545"/>
      <c r="W68" s="244">
        <f>(P68+Q68)*J68</f>
        <v>0</v>
      </c>
    </row>
    <row r="69" spans="2:23" s="536" customFormat="1" ht="13.5" customHeight="1" x14ac:dyDescent="0.2">
      <c r="B69" s="566"/>
      <c r="C69" s="567" t="s">
        <v>268</v>
      </c>
      <c r="D69" s="568">
        <v>15</v>
      </c>
      <c r="E69" s="569" t="s">
        <v>38</v>
      </c>
      <c r="F69" s="569"/>
      <c r="G69" s="570"/>
      <c r="H69" s="571"/>
      <c r="I69" s="571"/>
      <c r="J69" s="581">
        <f>IF(D$62=D$63,D69,(1+D$63/100)*(((1+D$62/100)^D69-(1+D$63/100)^D69)/((1+D$62/100)^D69*(D$62/100-D$63/100))))</f>
        <v>13.886109397216375</v>
      </c>
      <c r="K69" s="572"/>
      <c r="L69" s="573"/>
      <c r="M69" s="573"/>
      <c r="N69" s="573"/>
      <c r="O69" s="573"/>
      <c r="P69" s="574"/>
      <c r="Q69" s="545"/>
      <c r="R69" s="575"/>
      <c r="S69" s="554"/>
      <c r="T69" s="573"/>
      <c r="U69" s="573">
        <f>U58</f>
        <v>0</v>
      </c>
      <c r="V69" s="545"/>
      <c r="W69" s="545">
        <f>U69*J69</f>
        <v>0</v>
      </c>
    </row>
    <row r="70" spans="2:23" s="258" customFormat="1" ht="13.5" customHeight="1" x14ac:dyDescent="0.2">
      <c r="B70" s="246"/>
      <c r="C70" s="247" t="s">
        <v>39</v>
      </c>
      <c r="D70" s="248">
        <v>25</v>
      </c>
      <c r="E70" s="249" t="s">
        <v>38</v>
      </c>
      <c r="F70" s="249"/>
      <c r="G70" s="250"/>
      <c r="H70" s="251"/>
      <c r="I70" s="251"/>
      <c r="J70" s="252">
        <f>IF(D$62=D$63,D70,(1+D$63/100)*(((1+D$62/100)^D70-(1+D$63/100)^D70)/((1+D$62/100)^D70*(D$62/100-D$63/100))))</f>
        <v>22.076618888117327</v>
      </c>
      <c r="K70" s="253"/>
      <c r="L70" s="254"/>
      <c r="M70" s="254"/>
      <c r="N70" s="254"/>
      <c r="O70" s="254"/>
      <c r="P70" s="255"/>
      <c r="Q70" s="256"/>
      <c r="R70" s="257"/>
      <c r="S70" s="256"/>
      <c r="T70" s="254"/>
      <c r="U70" s="254">
        <f>U57</f>
        <v>0</v>
      </c>
      <c r="V70" s="545"/>
      <c r="W70" s="256">
        <f>U70*J70</f>
        <v>0</v>
      </c>
    </row>
    <row r="71" spans="2:23" ht="13.5" customHeight="1" x14ac:dyDescent="0.2">
      <c r="B71" s="226"/>
      <c r="C71" s="259" t="s">
        <v>39</v>
      </c>
      <c r="D71" s="238">
        <v>50</v>
      </c>
      <c r="E71" s="239" t="s">
        <v>38</v>
      </c>
      <c r="F71" s="239"/>
      <c r="G71" s="227"/>
      <c r="H71" s="228"/>
      <c r="I71" s="228"/>
      <c r="J71" s="260">
        <f>IF(D62=D63,D71,(1+D63/100)*(((1+D62/100)^D71-(1+D63/100)^D71)/((1+D62/100)^D71*(D62/100-D63/100))))</f>
        <v>39.375030898477981</v>
      </c>
      <c r="K71" s="235"/>
      <c r="L71" s="242"/>
      <c r="M71" s="235"/>
      <c r="N71" s="235"/>
      <c r="O71" s="235"/>
      <c r="P71" s="243"/>
      <c r="Q71" s="234"/>
      <c r="R71" s="230"/>
      <c r="S71" s="233"/>
      <c r="T71" s="235"/>
      <c r="U71" s="235">
        <f>U57</f>
        <v>0</v>
      </c>
      <c r="V71" s="545"/>
      <c r="W71" s="234">
        <f>U71*J71</f>
        <v>0</v>
      </c>
    </row>
    <row r="72" spans="2:23" s="258" customFormat="1" ht="28.5" customHeight="1" x14ac:dyDescent="0.2">
      <c r="B72" s="261"/>
      <c r="C72" s="262" t="s">
        <v>40</v>
      </c>
      <c r="D72" s="263">
        <v>25</v>
      </c>
      <c r="E72" s="264" t="s">
        <v>38</v>
      </c>
      <c r="F72" s="249"/>
      <c r="G72" s="250"/>
      <c r="H72" s="251"/>
      <c r="I72" s="251"/>
      <c r="J72" s="254"/>
      <c r="K72" s="254"/>
      <c r="L72" s="254"/>
      <c r="M72" s="254"/>
      <c r="N72" s="254"/>
      <c r="O72" s="254"/>
      <c r="P72" s="254"/>
      <c r="Q72" s="254"/>
      <c r="R72" s="251"/>
      <c r="S72" s="251"/>
      <c r="T72" s="251"/>
      <c r="U72" s="251"/>
      <c r="V72" s="545"/>
      <c r="W72" s="266">
        <f>W65+W66+W69+W70</f>
        <v>0</v>
      </c>
    </row>
    <row r="73" spans="2:23" ht="28.5" customHeight="1" x14ac:dyDescent="0.2">
      <c r="B73" s="267"/>
      <c r="C73" s="268" t="s">
        <v>40</v>
      </c>
      <c r="D73" s="269">
        <f>D71</f>
        <v>50</v>
      </c>
      <c r="E73" s="270" t="s">
        <v>38</v>
      </c>
      <c r="F73" s="239"/>
      <c r="G73" s="227"/>
      <c r="H73" s="228"/>
      <c r="I73" s="228"/>
      <c r="J73" s="235"/>
      <c r="K73" s="235"/>
      <c r="L73" s="242"/>
      <c r="M73" s="235"/>
      <c r="N73" s="235"/>
      <c r="O73" s="235"/>
      <c r="P73" s="235"/>
      <c r="Q73" s="235"/>
      <c r="R73" s="228"/>
      <c r="S73" s="228"/>
      <c r="T73" s="228"/>
      <c r="U73" s="228"/>
      <c r="V73" s="546"/>
      <c r="W73" s="271">
        <f>SUM(W65:W69)+W71</f>
        <v>0</v>
      </c>
    </row>
    <row r="74" spans="2:23" x14ac:dyDescent="0.2">
      <c r="J74" s="165"/>
      <c r="K74" s="165"/>
      <c r="L74" s="186"/>
      <c r="M74" s="165"/>
      <c r="N74" s="165"/>
      <c r="O74" s="165"/>
      <c r="P74" s="165"/>
      <c r="Q74" s="165"/>
      <c r="V74" s="586"/>
      <c r="W74" s="165"/>
    </row>
    <row r="75" spans="2:23" x14ac:dyDescent="0.2">
      <c r="J75" s="165"/>
      <c r="K75" s="165"/>
      <c r="L75" s="186"/>
      <c r="M75" s="165"/>
      <c r="N75" s="165"/>
      <c r="O75" s="165"/>
      <c r="P75" s="165"/>
      <c r="W75" s="165"/>
    </row>
    <row r="76" spans="2:23" x14ac:dyDescent="0.2">
      <c r="J76" s="165"/>
      <c r="K76" s="165"/>
      <c r="L76" s="186"/>
      <c r="M76" s="165"/>
      <c r="N76" s="165"/>
      <c r="O76" s="165"/>
      <c r="P76" s="165"/>
      <c r="Q76" s="165"/>
      <c r="W76" s="165"/>
    </row>
    <row r="77" spans="2:23" x14ac:dyDescent="0.2">
      <c r="J77" s="165"/>
      <c r="K77" s="165"/>
      <c r="L77" s="186"/>
      <c r="M77" s="165"/>
      <c r="N77" s="165"/>
      <c r="O77" s="165"/>
      <c r="P77" s="165"/>
      <c r="Q77" s="165"/>
      <c r="W77" s="165"/>
    </row>
    <row r="78" spans="2:23" x14ac:dyDescent="0.2">
      <c r="J78" s="165"/>
      <c r="K78" s="165"/>
      <c r="L78" s="186"/>
      <c r="M78" s="165"/>
      <c r="N78" s="165"/>
      <c r="O78" s="165"/>
      <c r="P78" s="165"/>
      <c r="Q78" s="165"/>
      <c r="W78" s="165"/>
    </row>
    <row r="79" spans="2:23" x14ac:dyDescent="0.2">
      <c r="J79" s="165"/>
      <c r="K79" s="165"/>
      <c r="L79" s="186"/>
      <c r="M79" s="165"/>
      <c r="N79" s="165"/>
      <c r="O79" s="165"/>
      <c r="P79" s="165"/>
      <c r="Q79" s="165"/>
      <c r="W79" s="165"/>
    </row>
    <row r="80" spans="2:23" x14ac:dyDescent="0.2">
      <c r="J80" s="165"/>
      <c r="K80" s="165"/>
      <c r="L80" s="186"/>
      <c r="M80" s="165"/>
      <c r="N80" s="165"/>
      <c r="O80" s="165"/>
      <c r="P80" s="165"/>
      <c r="Q80" s="165"/>
      <c r="W80" s="165"/>
    </row>
    <row r="81" spans="3:23" x14ac:dyDescent="0.2">
      <c r="J81" s="165"/>
      <c r="K81" s="165"/>
      <c r="L81" s="186"/>
      <c r="M81" s="165"/>
      <c r="N81" s="165"/>
      <c r="O81" s="165"/>
      <c r="P81" s="165"/>
      <c r="Q81" s="165"/>
      <c r="W81" s="165"/>
    </row>
    <row r="82" spans="3:23" x14ac:dyDescent="0.2">
      <c r="J82" s="165"/>
      <c r="K82" s="165"/>
      <c r="L82" s="186"/>
      <c r="M82" s="165"/>
      <c r="N82" s="165"/>
      <c r="O82" s="165"/>
      <c r="P82" s="165"/>
      <c r="Q82" s="165"/>
      <c r="W82" s="165"/>
    </row>
    <row r="83" spans="3:23" x14ac:dyDescent="0.2">
      <c r="J83" s="165"/>
      <c r="K83" s="165"/>
      <c r="L83" s="186"/>
      <c r="M83" s="165"/>
      <c r="N83" s="165"/>
      <c r="O83" s="165"/>
      <c r="P83" s="165"/>
      <c r="Q83" s="165"/>
      <c r="W83" s="165"/>
    </row>
    <row r="84" spans="3:23" x14ac:dyDescent="0.2">
      <c r="J84" s="165"/>
      <c r="K84" s="165"/>
      <c r="L84" s="186"/>
      <c r="M84" s="165"/>
      <c r="N84" s="165"/>
      <c r="O84" s="165"/>
      <c r="P84" s="165"/>
      <c r="Q84" s="165"/>
      <c r="W84" s="165"/>
    </row>
    <row r="85" spans="3:23" x14ac:dyDescent="0.2">
      <c r="J85" s="165"/>
      <c r="K85" s="165"/>
      <c r="L85" s="186"/>
      <c r="M85" s="165"/>
      <c r="N85" s="165"/>
      <c r="O85" s="165"/>
      <c r="P85" s="165"/>
      <c r="Q85" s="165"/>
      <c r="W85" s="165"/>
    </row>
    <row r="86" spans="3:23" x14ac:dyDescent="0.2">
      <c r="J86" s="165"/>
      <c r="K86" s="165"/>
      <c r="L86" s="186"/>
      <c r="M86" s="165"/>
      <c r="N86" s="165"/>
      <c r="O86" s="165"/>
      <c r="P86" s="165"/>
      <c r="Q86" s="165"/>
      <c r="W86" s="165"/>
    </row>
    <row r="88" spans="3:23" ht="13.5" thickBot="1" x14ac:dyDescent="0.25"/>
    <row r="89" spans="3:23" x14ac:dyDescent="0.2">
      <c r="C89" s="70" t="s">
        <v>146</v>
      </c>
      <c r="D89" s="71"/>
      <c r="E89" s="71"/>
      <c r="F89" s="72"/>
    </row>
    <row r="90" spans="3:23" x14ac:dyDescent="0.2">
      <c r="C90" s="73"/>
      <c r="F90" s="75"/>
    </row>
    <row r="91" spans="3:23" x14ac:dyDescent="0.2">
      <c r="C91" s="76" t="s">
        <v>59</v>
      </c>
      <c r="F91" s="75"/>
    </row>
    <row r="92" spans="3:23" x14ac:dyDescent="0.2">
      <c r="C92" s="77" t="s">
        <v>60</v>
      </c>
      <c r="F92" s="75"/>
    </row>
    <row r="93" spans="3:23" x14ac:dyDescent="0.2">
      <c r="C93" s="73"/>
      <c r="F93" s="75"/>
    </row>
    <row r="94" spans="3:23" ht="14.25" x14ac:dyDescent="0.2">
      <c r="C94" s="78" t="s">
        <v>56</v>
      </c>
      <c r="F94" s="75"/>
    </row>
    <row r="95" spans="3:23" ht="14.25" x14ac:dyDescent="0.2">
      <c r="C95" s="79" t="s">
        <v>57</v>
      </c>
      <c r="F95" s="75"/>
    </row>
    <row r="96" spans="3:23" ht="14.25" x14ac:dyDescent="0.2">
      <c r="C96" s="80" t="s">
        <v>58</v>
      </c>
      <c r="F96" s="75"/>
    </row>
    <row r="97" spans="3:7" x14ac:dyDescent="0.2">
      <c r="C97" s="73"/>
      <c r="F97" s="75"/>
    </row>
    <row r="98" spans="3:7" x14ac:dyDescent="0.2">
      <c r="C98" s="81" t="s">
        <v>64</v>
      </c>
      <c r="F98" s="75"/>
    </row>
    <row r="99" spans="3:7" x14ac:dyDescent="0.2">
      <c r="C99" s="82" t="s">
        <v>68</v>
      </c>
      <c r="F99" s="75"/>
    </row>
    <row r="100" spans="3:7" x14ac:dyDescent="0.2">
      <c r="C100" s="73"/>
      <c r="F100" s="75"/>
    </row>
    <row r="101" spans="3:7" x14ac:dyDescent="0.2">
      <c r="C101" s="76" t="s">
        <v>74</v>
      </c>
      <c r="F101" s="75"/>
    </row>
    <row r="102" spans="3:7" x14ac:dyDescent="0.2">
      <c r="C102" s="77" t="s">
        <v>75</v>
      </c>
      <c r="F102" s="75"/>
    </row>
    <row r="103" spans="3:7" x14ac:dyDescent="0.2">
      <c r="C103" s="73"/>
      <c r="F103" s="75"/>
    </row>
    <row r="104" spans="3:7" x14ac:dyDescent="0.2">
      <c r="C104" s="73"/>
      <c r="F104" s="75"/>
    </row>
    <row r="105" spans="3:7" x14ac:dyDescent="0.2">
      <c r="C105" s="358" t="s">
        <v>65</v>
      </c>
      <c r="D105" s="83">
        <v>2.8643000000000001</v>
      </c>
      <c r="E105" s="74">
        <v>588.42999999999995</v>
      </c>
      <c r="F105" s="359"/>
      <c r="G105" s="591" t="s">
        <v>292</v>
      </c>
    </row>
    <row r="106" spans="3:7" x14ac:dyDescent="0.2">
      <c r="C106" s="358" t="s">
        <v>66</v>
      </c>
      <c r="D106" s="83">
        <v>1.5461</v>
      </c>
      <c r="E106" s="74">
        <v>287.11</v>
      </c>
      <c r="F106" s="359"/>
      <c r="G106" s="591" t="s">
        <v>292</v>
      </c>
    </row>
    <row r="107" spans="3:7" x14ac:dyDescent="0.2">
      <c r="C107" s="358" t="s">
        <v>67</v>
      </c>
      <c r="D107" s="83">
        <v>2.1246999999999998</v>
      </c>
      <c r="E107" s="74">
        <v>375.99</v>
      </c>
      <c r="F107" s="359"/>
      <c r="G107" s="591" t="s">
        <v>292</v>
      </c>
    </row>
    <row r="108" spans="3:7" x14ac:dyDescent="0.2">
      <c r="C108" s="358" t="s">
        <v>69</v>
      </c>
      <c r="D108" s="83">
        <v>1.3994</v>
      </c>
      <c r="E108" s="74">
        <v>200.14</v>
      </c>
      <c r="F108" s="359"/>
      <c r="G108" s="591" t="s">
        <v>292</v>
      </c>
    </row>
    <row r="109" spans="3:7" x14ac:dyDescent="0.2">
      <c r="C109" s="362" t="s">
        <v>70</v>
      </c>
      <c r="D109" s="83">
        <v>3.0999999999999999E-3</v>
      </c>
      <c r="E109" s="84">
        <v>0.109</v>
      </c>
      <c r="F109" s="359">
        <v>381.5</v>
      </c>
      <c r="G109" s="591" t="s">
        <v>292</v>
      </c>
    </row>
    <row r="110" spans="3:7" x14ac:dyDescent="0.2">
      <c r="C110" s="362" t="s">
        <v>72</v>
      </c>
      <c r="D110" s="83">
        <v>1.9E-3</v>
      </c>
      <c r="E110" s="84">
        <v>0.22600000000000001</v>
      </c>
      <c r="F110" s="359">
        <v>282.5</v>
      </c>
      <c r="G110" s="591" t="s">
        <v>292</v>
      </c>
    </row>
    <row r="111" spans="3:7" x14ac:dyDescent="0.2">
      <c r="C111" s="362" t="s">
        <v>71</v>
      </c>
      <c r="D111" s="83">
        <v>1.4E-3</v>
      </c>
      <c r="E111" s="84">
        <v>0.35099999999999998</v>
      </c>
      <c r="F111" s="359">
        <v>175.5</v>
      </c>
      <c r="G111" s="591" t="s">
        <v>292</v>
      </c>
    </row>
    <row r="112" spans="3:7" x14ac:dyDescent="0.2">
      <c r="C112" s="358"/>
      <c r="F112" s="359"/>
      <c r="G112" s="591"/>
    </row>
    <row r="113" spans="3:7" x14ac:dyDescent="0.2">
      <c r="C113" s="358" t="s">
        <v>176</v>
      </c>
      <c r="D113" s="74">
        <v>58509</v>
      </c>
      <c r="E113" s="353">
        <v>-0.45400000000000001</v>
      </c>
      <c r="F113" s="363">
        <v>1</v>
      </c>
      <c r="G113" s="591" t="s">
        <v>292</v>
      </c>
    </row>
    <row r="114" spans="3:7" x14ac:dyDescent="0.2">
      <c r="C114" s="358" t="s">
        <v>175</v>
      </c>
      <c r="D114" s="74">
        <v>45507</v>
      </c>
      <c r="E114" s="353">
        <v>-0.45400000000000001</v>
      </c>
      <c r="F114" s="363">
        <v>1</v>
      </c>
      <c r="G114" s="591" t="s">
        <v>292</v>
      </c>
    </row>
    <row r="115" spans="3:7" x14ac:dyDescent="0.2">
      <c r="C115" s="358" t="s">
        <v>178</v>
      </c>
      <c r="D115" s="74">
        <v>39006</v>
      </c>
      <c r="E115" s="353">
        <v>-0.45400000000000001</v>
      </c>
      <c r="F115" s="363">
        <v>1</v>
      </c>
      <c r="G115" s="591" t="s">
        <v>292</v>
      </c>
    </row>
    <row r="116" spans="3:7" x14ac:dyDescent="0.2">
      <c r="C116" s="358" t="s">
        <v>177</v>
      </c>
      <c r="D116" s="74">
        <v>30338</v>
      </c>
      <c r="E116" s="353">
        <v>-0.45400000000000001</v>
      </c>
      <c r="F116" s="363">
        <v>1</v>
      </c>
      <c r="G116" s="591" t="s">
        <v>292</v>
      </c>
    </row>
    <row r="117" spans="3:7" x14ac:dyDescent="0.2">
      <c r="C117" s="423" t="s">
        <v>242</v>
      </c>
      <c r="D117" s="74">
        <v>39006</v>
      </c>
      <c r="E117" s="353">
        <v>-0.45400000000000001</v>
      </c>
      <c r="F117" s="363">
        <v>1</v>
      </c>
      <c r="G117" s="591" t="s">
        <v>292</v>
      </c>
    </row>
    <row r="118" spans="3:7" x14ac:dyDescent="0.2">
      <c r="C118" s="423" t="s">
        <v>241</v>
      </c>
      <c r="D118" s="74">
        <v>30338</v>
      </c>
      <c r="E118" s="353">
        <v>-0.45400000000000001</v>
      </c>
      <c r="F118" s="363">
        <v>1</v>
      </c>
      <c r="G118" s="591" t="s">
        <v>292</v>
      </c>
    </row>
    <row r="119" spans="3:7" x14ac:dyDescent="0.2">
      <c r="C119" s="364" t="s">
        <v>185</v>
      </c>
      <c r="D119" s="328">
        <v>58509</v>
      </c>
      <c r="E119" s="354">
        <v>-0.45400000000000001</v>
      </c>
      <c r="F119" s="365">
        <v>1</v>
      </c>
      <c r="G119" s="591" t="s">
        <v>292</v>
      </c>
    </row>
    <row r="120" spans="3:7" x14ac:dyDescent="0.2">
      <c r="C120" s="364" t="s">
        <v>186</v>
      </c>
      <c r="D120" s="328">
        <v>45507</v>
      </c>
      <c r="E120" s="354">
        <v>-0.45400000000000001</v>
      </c>
      <c r="F120" s="365">
        <v>1</v>
      </c>
      <c r="G120" s="591" t="s">
        <v>292</v>
      </c>
    </row>
    <row r="121" spans="3:7" x14ac:dyDescent="0.2">
      <c r="C121" s="364" t="s">
        <v>187</v>
      </c>
      <c r="D121" s="328">
        <v>39006</v>
      </c>
      <c r="E121" s="354">
        <v>-0.45400000000000001</v>
      </c>
      <c r="F121" s="365">
        <v>1</v>
      </c>
      <c r="G121" s="591" t="s">
        <v>292</v>
      </c>
    </row>
    <row r="122" spans="3:7" x14ac:dyDescent="0.2">
      <c r="C122" s="364" t="s">
        <v>188</v>
      </c>
      <c r="D122" s="328">
        <v>30338</v>
      </c>
      <c r="E122" s="354">
        <v>-0.45400000000000001</v>
      </c>
      <c r="F122" s="365">
        <v>1</v>
      </c>
      <c r="G122" s="591" t="s">
        <v>292</v>
      </c>
    </row>
    <row r="123" spans="3:7" x14ac:dyDescent="0.2">
      <c r="C123" s="422" t="s">
        <v>239</v>
      </c>
      <c r="D123" s="328">
        <v>11791</v>
      </c>
      <c r="E123" s="354">
        <v>-0.46300000000000002</v>
      </c>
      <c r="F123" s="365">
        <v>1.5</v>
      </c>
      <c r="G123" s="591" t="s">
        <v>292</v>
      </c>
    </row>
    <row r="124" spans="3:7" x14ac:dyDescent="0.2">
      <c r="C124" s="422" t="s">
        <v>240</v>
      </c>
      <c r="D124" s="328">
        <v>11791</v>
      </c>
      <c r="E124" s="354">
        <v>-0.46300000000000002</v>
      </c>
      <c r="F124" s="365">
        <v>1</v>
      </c>
      <c r="G124" s="591" t="s">
        <v>292</v>
      </c>
    </row>
    <row r="125" spans="3:7" x14ac:dyDescent="0.2">
      <c r="C125" s="423" t="s">
        <v>180</v>
      </c>
      <c r="D125" s="74">
        <v>58509</v>
      </c>
      <c r="E125" s="353">
        <v>-0.45400000000000001</v>
      </c>
      <c r="F125" s="363">
        <v>0.8</v>
      </c>
      <c r="G125" s="591" t="s">
        <v>292</v>
      </c>
    </row>
    <row r="126" spans="3:7" x14ac:dyDescent="0.2">
      <c r="C126" s="358" t="s">
        <v>179</v>
      </c>
      <c r="D126" s="74">
        <v>45507</v>
      </c>
      <c r="E126" s="353">
        <v>-0.45400000000000001</v>
      </c>
      <c r="F126" s="363">
        <v>0.8</v>
      </c>
      <c r="G126" s="591" t="s">
        <v>292</v>
      </c>
    </row>
    <row r="127" spans="3:7" x14ac:dyDescent="0.2">
      <c r="C127" s="358" t="s">
        <v>182</v>
      </c>
      <c r="D127" s="74">
        <v>39006</v>
      </c>
      <c r="E127" s="353">
        <v>-0.45400000000000001</v>
      </c>
      <c r="F127" s="363">
        <v>0.8</v>
      </c>
      <c r="G127" s="591" t="s">
        <v>292</v>
      </c>
    </row>
    <row r="128" spans="3:7" x14ac:dyDescent="0.2">
      <c r="C128" s="423" t="s">
        <v>181</v>
      </c>
      <c r="D128" s="74">
        <v>30338</v>
      </c>
      <c r="E128" s="353">
        <v>-0.45400000000000001</v>
      </c>
      <c r="F128" s="363">
        <v>0.8</v>
      </c>
      <c r="G128" s="591" t="s">
        <v>292</v>
      </c>
    </row>
    <row r="129" spans="3:7" x14ac:dyDescent="0.2">
      <c r="C129" s="424" t="s">
        <v>237</v>
      </c>
      <c r="D129" s="74">
        <v>11791</v>
      </c>
      <c r="E129" s="353">
        <v>-0.46300000000000002</v>
      </c>
      <c r="F129" s="363">
        <v>1.8</v>
      </c>
      <c r="G129" s="591" t="s">
        <v>292</v>
      </c>
    </row>
    <row r="130" spans="3:7" ht="13.5" thickBot="1" x14ac:dyDescent="0.25">
      <c r="C130" s="421" t="s">
        <v>238</v>
      </c>
      <c r="D130" s="366">
        <v>11791</v>
      </c>
      <c r="E130" s="367">
        <v>-0.46300000000000002</v>
      </c>
      <c r="F130" s="368">
        <v>1.2</v>
      </c>
      <c r="G130" s="591" t="s">
        <v>292</v>
      </c>
    </row>
    <row r="132" spans="3:7" x14ac:dyDescent="0.2">
      <c r="C132" s="612" t="s">
        <v>293</v>
      </c>
      <c r="D132" s="611">
        <f>SUM(D105:D130)</f>
        <v>636595.94090000005</v>
      </c>
      <c r="E132" s="611">
        <f t="shared" ref="E132:F132" si="28">SUM(E105:E130)</f>
        <v>1444.148000000001</v>
      </c>
      <c r="F132" s="611">
        <f t="shared" si="28"/>
        <v>858.19999999999982</v>
      </c>
    </row>
  </sheetData>
  <sheetProtection algorithmName="SHA-512" hashValue="KnBLDYRCqogQZB5RF6GpJBqkpPQmf55Xd6wE2hngD9/BoIaEXxf46mmh0fuO0+Im0PZkc+QDp+P3qSAQk67qvA==" saltValue="ndicUYMv8Dvv3LHNNIfX0g==" spinCount="100000" sheet="1" objects="1" scenarios="1"/>
  <autoFilter ref="A3:AF130" xr:uid="{00000000-0009-0000-0000-000006000000}"/>
  <dataConsolidate/>
  <phoneticPr fontId="12" type="noConversion"/>
  <conditionalFormatting sqref="M7:N9">
    <cfRule type="containsText" dxfId="82" priority="25" operator="containsText" text="tatsächl.">
      <formula>NOT(ISERROR(SEARCH("tatsächl.",M7)))</formula>
    </cfRule>
    <cfRule type="containsText" dxfId="81" priority="26" operator="containsText" text="Richtwert">
      <formula>NOT(ISERROR(SEARCH("Richtwert",M7)))</formula>
    </cfRule>
  </conditionalFormatting>
  <conditionalFormatting sqref="M13:N24">
    <cfRule type="containsText" dxfId="80" priority="23" operator="containsText" text="tatsächl.">
      <formula>NOT(ISERROR(SEARCH("tatsächl.",M13)))</formula>
    </cfRule>
    <cfRule type="containsText" dxfId="79" priority="24" operator="containsText" text="Richtwert">
      <formula>NOT(ISERROR(SEARCH("Richtwert",M13)))</formula>
    </cfRule>
  </conditionalFormatting>
  <conditionalFormatting sqref="M27:N33">
    <cfRule type="containsText" dxfId="78" priority="15" operator="containsText" text="tatsächl.">
      <formula>NOT(ISERROR(SEARCH("tatsächl.",M27)))</formula>
    </cfRule>
    <cfRule type="containsText" dxfId="77" priority="16" operator="containsText" text="Richtwert">
      <formula>NOT(ISERROR(SEARCH("Richtwert",M27)))</formula>
    </cfRule>
  </conditionalFormatting>
  <conditionalFormatting sqref="M37:N39">
    <cfRule type="containsText" dxfId="76" priority="13" operator="containsText" text="tatsächl.">
      <formula>NOT(ISERROR(SEARCH("tatsächl.",M37)))</formula>
    </cfRule>
    <cfRule type="containsText" dxfId="75" priority="14" operator="containsText" text="Richtwert">
      <formula>NOT(ISERROR(SEARCH("Richtwert",M37)))</formula>
    </cfRule>
  </conditionalFormatting>
  <conditionalFormatting sqref="M43:N48">
    <cfRule type="containsText" dxfId="74" priority="11" operator="containsText" text="tatsächl.">
      <formula>NOT(ISERROR(SEARCH("tatsächl.",M43)))</formula>
    </cfRule>
    <cfRule type="containsText" dxfId="73" priority="12" operator="containsText" text="Richtwert">
      <formula>NOT(ISERROR(SEARCH("Richtwert",M43)))</formula>
    </cfRule>
  </conditionalFormatting>
  <conditionalFormatting sqref="U8:V9">
    <cfRule type="containsText" dxfId="72" priority="9" operator="containsText" text="tatsächl.">
      <formula>NOT(ISERROR(SEARCH("tatsächl.",U8)))</formula>
    </cfRule>
    <cfRule type="containsText" dxfId="71" priority="10" operator="containsText" text="Richtwert">
      <formula>NOT(ISERROR(SEARCH("Richtwert",U8)))</formula>
    </cfRule>
  </conditionalFormatting>
  <conditionalFormatting sqref="U13:V24">
    <cfRule type="containsText" dxfId="70" priority="7" operator="containsText" text="tatsächl.">
      <formula>NOT(ISERROR(SEARCH("tatsächl.",U13)))</formula>
    </cfRule>
    <cfRule type="containsText" dxfId="69" priority="8" operator="containsText" text="Richtwert">
      <formula>NOT(ISERROR(SEARCH("Richtwert",U13)))</formula>
    </cfRule>
  </conditionalFormatting>
  <conditionalFormatting sqref="U27:V33">
    <cfRule type="containsText" dxfId="68" priority="5" operator="containsText" text="tatsächl.">
      <formula>NOT(ISERROR(SEARCH("tatsächl.",U27)))</formula>
    </cfRule>
    <cfRule type="containsText" dxfId="67" priority="6" operator="containsText" text="Richtwert">
      <formula>NOT(ISERROR(SEARCH("Richtwert",U27)))</formula>
    </cfRule>
  </conditionalFormatting>
  <conditionalFormatting sqref="U37:V39">
    <cfRule type="containsText" dxfId="66" priority="3" operator="containsText" text="tatsächl.">
      <formula>NOT(ISERROR(SEARCH("tatsächl.",U37)))</formula>
    </cfRule>
    <cfRule type="containsText" dxfId="65" priority="4" operator="containsText" text="Richtwert">
      <formula>NOT(ISERROR(SEARCH("Richtwert",U37)))</formula>
    </cfRule>
  </conditionalFormatting>
  <conditionalFormatting sqref="U43:V48">
    <cfRule type="containsText" dxfId="64" priority="1" operator="containsText" text="tatsächl.">
      <formula>NOT(ISERROR(SEARCH("tatsächl.",U43)))</formula>
    </cfRule>
    <cfRule type="containsText" dxfId="63" priority="2" operator="containsText" text="Richtwert">
      <formula>NOT(ISERROR(SEARCH("Richtwert",U43)))</formula>
    </cfRule>
  </conditionalFormatting>
  <dataValidations disablePrompts="1" count="3">
    <dataValidation type="custom" allowBlank="1" showInputMessage="1" showErrorMessage="1" errorTitle="Tiel" sqref="AF40:AF42 AF13:AF36 AF7" xr:uid="{00000000-0002-0000-0600-000000000000}">
      <formula1>IF(AND(G7="Freispiegel",H7="Straße ländlich"),"",0)</formula1>
    </dataValidation>
    <dataValidation type="whole" operator="greaterThan" allowBlank="1" showInputMessage="1" showErrorMessage="1" errorTitle="titel" error="meldung" sqref="J13:J24" xr:uid="{00000000-0002-0000-0600-000001000000}">
      <formula1>0</formula1>
    </dataValidation>
    <dataValidation type="list" allowBlank="1" showInputMessage="1" showErrorMessage="1" sqref="O13:O24 O43:O48 O7 O27:O34" xr:uid="{00000000-0002-0000-0600-000002000000}">
      <formula1>$K$4:$L$4</formula1>
    </dataValidation>
  </dataValidations>
  <pageMargins left="0.59055118110236227" right="0.59055118110236227" top="0.98425196850393704" bottom="0.78740157480314965" header="0.78740157480314965" footer="0.59055118110236227"/>
  <pageSetup paperSize="9" scale="49" orientation="landscape" r:id="rId1"/>
  <headerFooter alignWithMargins="0">
    <oddHeader>&amp;R&amp;"Arial,Fett"&amp;8Jedele und Partner GmbH</oddHeader>
    <oddFooter>&amp;L&amp;6&amp;F   &amp;A   &amp;D</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0">
    <tabColor indexed="42"/>
    <pageSetUpPr fitToPage="1"/>
  </sheetPr>
  <dimension ref="A1:AF132"/>
  <sheetViews>
    <sheetView showGridLines="0" zoomScaleNormal="100" workbookViewId="0">
      <pane xSplit="3" ySplit="5" topLeftCell="D6" activePane="bottomRight" state="frozen"/>
      <selection pane="topRight" activeCell="D1" sqref="D1"/>
      <selection pane="bottomLeft" activeCell="A6" sqref="A6"/>
      <selection pane="bottomRight" activeCell="C1" sqref="C1"/>
    </sheetView>
  </sheetViews>
  <sheetFormatPr baseColWidth="10" defaultColWidth="10.625" defaultRowHeight="12.75" x14ac:dyDescent="0.2"/>
  <cols>
    <col min="1" max="1" width="2.5" style="74" customWidth="1"/>
    <col min="2" max="2" width="2.5" style="125" customWidth="1"/>
    <col min="3" max="3" width="30.5" style="126" customWidth="1"/>
    <col min="4" max="4" width="6.75" style="74" customWidth="1"/>
    <col min="5" max="5" width="5.75" style="74" customWidth="1"/>
    <col min="6" max="6" width="7.75" style="74" customWidth="1"/>
    <col min="7" max="7" width="10.75" style="126" customWidth="1"/>
    <col min="8" max="8" width="8.75" style="74" customWidth="1"/>
    <col min="9" max="9" width="7.75" style="74" customWidth="1"/>
    <col min="10" max="10" width="10.75" style="126" customWidth="1"/>
    <col min="11" max="11" width="12.75" style="74" customWidth="1"/>
    <col min="12" max="12" width="12.75" style="128" customWidth="1"/>
    <col min="13" max="13" width="12.75" style="74" customWidth="1"/>
    <col min="14" max="14" width="7.375" style="74" customWidth="1"/>
    <col min="15" max="15" width="2.25" style="74" customWidth="1"/>
    <col min="16" max="17" width="12.75" style="74" customWidth="1"/>
    <col min="18" max="20" width="11.625" style="74" customWidth="1"/>
    <col min="21" max="21" width="10.75" style="74" customWidth="1"/>
    <col min="22" max="22" width="9.25" style="536" bestFit="1" customWidth="1"/>
    <col min="23" max="23" width="14.75" style="74" customWidth="1"/>
    <col min="24" max="24" width="10.625" style="74" customWidth="1"/>
    <col min="25" max="25" width="7.5" style="74" customWidth="1"/>
    <col min="26" max="26" width="14.375" style="74" bestFit="1" customWidth="1"/>
    <col min="27" max="31" width="10.625" style="74"/>
    <col min="32" max="32" width="19.625" style="74" bestFit="1" customWidth="1"/>
    <col min="33" max="16384" width="10.625" style="74"/>
  </cols>
  <sheetData>
    <row r="1" spans="1:32" s="114" customFormat="1" ht="15.75" x14ac:dyDescent="0.25">
      <c r="C1" s="115" t="s">
        <v>88</v>
      </c>
      <c r="F1" s="124" t="str">
        <f>Eingabe_1!F2</f>
        <v>Variante 3</v>
      </c>
      <c r="G1" s="280" t="str">
        <f>Eingabe_1!F3</f>
        <v xml:space="preserve">Grundstk-KA </v>
      </c>
      <c r="H1" s="281"/>
      <c r="K1" s="118"/>
      <c r="L1" s="119"/>
      <c r="M1" s="118"/>
      <c r="N1" s="118"/>
      <c r="O1" s="118"/>
      <c r="R1" s="120"/>
      <c r="V1" s="534"/>
    </row>
    <row r="2" spans="1:32" s="114" customFormat="1" ht="15.75" x14ac:dyDescent="0.25">
      <c r="C2" s="121"/>
      <c r="K2" s="121"/>
      <c r="L2" s="122"/>
      <c r="M2" s="123"/>
      <c r="N2" s="123"/>
      <c r="O2" s="121"/>
      <c r="S2" s="124"/>
      <c r="T2" s="124"/>
      <c r="U2" s="124"/>
      <c r="V2" s="535"/>
    </row>
    <row r="3" spans="1:32" x14ac:dyDescent="0.2">
      <c r="J3" s="127"/>
    </row>
    <row r="4" spans="1:32" s="141" customFormat="1" ht="17.25" customHeight="1" thickBot="1" x14ac:dyDescent="0.25">
      <c r="B4" s="129"/>
      <c r="C4" s="130" t="s">
        <v>13</v>
      </c>
      <c r="D4" s="131"/>
      <c r="E4" s="131"/>
      <c r="F4" s="131"/>
      <c r="G4" s="132"/>
      <c r="H4" s="131"/>
      <c r="I4" s="131"/>
      <c r="J4" s="133"/>
      <c r="K4" s="134" t="s">
        <v>85</v>
      </c>
      <c r="L4" s="135" t="s">
        <v>82</v>
      </c>
      <c r="M4" s="136" t="s">
        <v>83</v>
      </c>
      <c r="N4" s="495" t="s">
        <v>254</v>
      </c>
      <c r="O4" s="136"/>
      <c r="P4" s="137" t="s">
        <v>77</v>
      </c>
      <c r="Q4" s="138"/>
      <c r="R4" s="139" t="s">
        <v>14</v>
      </c>
      <c r="S4" s="134" t="s">
        <v>85</v>
      </c>
      <c r="T4" s="135" t="s">
        <v>82</v>
      </c>
      <c r="U4" s="136" t="s">
        <v>83</v>
      </c>
      <c r="V4" s="537" t="s">
        <v>260</v>
      </c>
      <c r="W4" s="140"/>
    </row>
    <row r="5" spans="1:32" s="141" customFormat="1" ht="18.75" customHeight="1" x14ac:dyDescent="0.2">
      <c r="B5" s="142"/>
      <c r="C5" s="143"/>
      <c r="D5" s="144" t="s">
        <v>15</v>
      </c>
      <c r="E5" s="143" t="s">
        <v>16</v>
      </c>
      <c r="F5" s="143"/>
      <c r="G5" s="143" t="s">
        <v>61</v>
      </c>
      <c r="H5" s="143"/>
      <c r="I5" s="143"/>
      <c r="J5" s="144" t="s">
        <v>17</v>
      </c>
      <c r="K5" s="145" t="s">
        <v>18</v>
      </c>
      <c r="L5" s="146" t="s">
        <v>18</v>
      </c>
      <c r="M5" s="147" t="s">
        <v>84</v>
      </c>
      <c r="N5" s="496" t="s">
        <v>255</v>
      </c>
      <c r="O5" s="147"/>
      <c r="P5" s="148" t="s">
        <v>19</v>
      </c>
      <c r="Q5" s="149" t="s">
        <v>20</v>
      </c>
      <c r="R5" s="150" t="s">
        <v>41</v>
      </c>
      <c r="S5" s="151" t="s">
        <v>21</v>
      </c>
      <c r="T5" s="146" t="s">
        <v>21</v>
      </c>
      <c r="U5" s="147" t="s">
        <v>84</v>
      </c>
      <c r="V5" s="538" t="s">
        <v>261</v>
      </c>
      <c r="W5" s="140"/>
      <c r="AC5" s="70" t="s">
        <v>73</v>
      </c>
      <c r="AD5" s="85"/>
      <c r="AE5" s="85"/>
      <c r="AF5" s="86"/>
    </row>
    <row r="6" spans="1:32" s="141" customFormat="1" ht="13.5" customHeight="1" x14ac:dyDescent="0.2">
      <c r="A6" s="469" t="s">
        <v>127</v>
      </c>
      <c r="B6" s="152">
        <v>1</v>
      </c>
      <c r="C6" s="185" t="s">
        <v>127</v>
      </c>
      <c r="D6" s="402"/>
      <c r="E6" s="401"/>
      <c r="F6" s="401"/>
      <c r="G6" s="401"/>
      <c r="H6" s="401"/>
      <c r="I6" s="401"/>
      <c r="J6" s="402"/>
      <c r="K6" s="403"/>
      <c r="L6" s="404"/>
      <c r="M6" s="405"/>
      <c r="N6" s="375"/>
      <c r="O6" s="405"/>
      <c r="P6" s="187">
        <v>0.7</v>
      </c>
      <c r="Q6" s="388">
        <v>0.3</v>
      </c>
      <c r="R6" s="165"/>
      <c r="S6" s="165"/>
      <c r="T6" s="404"/>
      <c r="U6" s="405"/>
      <c r="V6" s="538"/>
      <c r="W6" s="140"/>
      <c r="AC6" s="87" t="s">
        <v>86</v>
      </c>
      <c r="AD6" s="88" t="s">
        <v>87</v>
      </c>
      <c r="AE6" s="88"/>
      <c r="AF6" s="409"/>
    </row>
    <row r="7" spans="1:32" s="174" customFormat="1" ht="13.5" customHeight="1" x14ac:dyDescent="0.2">
      <c r="A7" s="469" t="s">
        <v>127</v>
      </c>
      <c r="B7" s="162"/>
      <c r="C7" s="126" t="s">
        <v>208</v>
      </c>
      <c r="D7" s="174">
        <f>Eingabe_1!F14</f>
        <v>0</v>
      </c>
      <c r="E7" s="163" t="s">
        <v>25</v>
      </c>
      <c r="F7" s="163"/>
      <c r="H7" s="276"/>
      <c r="I7" s="277"/>
      <c r="J7" s="165">
        <v>3000</v>
      </c>
      <c r="K7" s="383">
        <f>J7*D7</f>
        <v>0</v>
      </c>
      <c r="L7" s="169">
        <f>Eingabe_1!F15*Eingabe_1!F14</f>
        <v>0</v>
      </c>
      <c r="M7" s="168" t="str">
        <f>Eingabe_1!F16</f>
        <v>Richtwert</v>
      </c>
      <c r="N7" s="168"/>
      <c r="O7" s="168"/>
      <c r="P7" s="170"/>
      <c r="Q7" s="173"/>
      <c r="R7" s="165"/>
      <c r="S7" s="204"/>
      <c r="T7" s="382"/>
      <c r="U7" s="168"/>
      <c r="V7" s="539"/>
      <c r="W7" s="128"/>
      <c r="AC7" s="89">
        <f>IF(M7=K$4,K7,L7)</f>
        <v>0</v>
      </c>
      <c r="AD7" s="90">
        <f>IF(U7=$S$4,S7,T7)</f>
        <v>0</v>
      </c>
      <c r="AE7" s="90"/>
      <c r="AF7" s="92"/>
    </row>
    <row r="8" spans="1:32" s="141" customFormat="1" ht="13.5" customHeight="1" x14ac:dyDescent="0.2">
      <c r="A8" s="469" t="s">
        <v>127</v>
      </c>
      <c r="B8" s="162"/>
      <c r="C8" s="126" t="s">
        <v>212</v>
      </c>
      <c r="D8" s="74">
        <f>Eingabe_1!F18</f>
        <v>0</v>
      </c>
      <c r="E8" s="74" t="s">
        <v>25</v>
      </c>
      <c r="F8" s="401"/>
      <c r="G8" s="401"/>
      <c r="H8" s="401"/>
      <c r="I8" s="401"/>
      <c r="J8" s="165">
        <v>10000</v>
      </c>
      <c r="K8" s="383">
        <f>J8*D8</f>
        <v>0</v>
      </c>
      <c r="L8" s="169">
        <f>Eingabe_1!F19*Eingabe_1!F18</f>
        <v>0</v>
      </c>
      <c r="M8" s="168" t="str">
        <f>Eingabe_1!F20</f>
        <v>Richtwert</v>
      </c>
      <c r="N8" s="168"/>
      <c r="O8" s="405"/>
      <c r="P8" s="170">
        <f>(IF($M8=$K$4,$K8,$L8)*P$6)</f>
        <v>0</v>
      </c>
      <c r="Q8" s="173">
        <f>(IF($M8=$K$4,$K8,$L8)*Q$6)</f>
        <v>0</v>
      </c>
      <c r="R8" s="165" t="str">
        <f>IF(D8&gt;0,150,"-")</f>
        <v>-</v>
      </c>
      <c r="S8" s="165" t="str">
        <f>IF(D8=0,"",R8*D8)</f>
        <v/>
      </c>
      <c r="T8" s="169">
        <f>Eingabe_1!F21*D8</f>
        <v>0</v>
      </c>
      <c r="U8" s="168" t="str">
        <f>Eingabe_1!F22</f>
        <v>Richtwert</v>
      </c>
      <c r="V8" s="539"/>
      <c r="W8" s="140"/>
      <c r="AC8" s="89">
        <f>IF(M8=K$4,K8,L8)</f>
        <v>0</v>
      </c>
      <c r="AD8" s="90" t="str">
        <f>IF(U8=$S$4,S8,T8)</f>
        <v/>
      </c>
      <c r="AE8" s="90"/>
      <c r="AF8" s="409"/>
    </row>
    <row r="9" spans="1:32" s="141" customFormat="1" ht="13.5" customHeight="1" x14ac:dyDescent="0.2">
      <c r="A9" s="469" t="s">
        <v>127</v>
      </c>
      <c r="B9" s="162"/>
      <c r="C9" s="126" t="s">
        <v>213</v>
      </c>
      <c r="D9" s="74">
        <f>Eingabe_1!F24</f>
        <v>0</v>
      </c>
      <c r="E9" s="74" t="s">
        <v>25</v>
      </c>
      <c r="F9" s="401"/>
      <c r="G9" s="401"/>
      <c r="H9" s="401"/>
      <c r="I9" s="401"/>
      <c r="J9" s="165">
        <v>5500</v>
      </c>
      <c r="K9" s="383">
        <f>J9*D9</f>
        <v>0</v>
      </c>
      <c r="L9" s="169">
        <f>Eingabe_1!F25*Eingabe_1!F24</f>
        <v>0</v>
      </c>
      <c r="M9" s="168" t="str">
        <f>Eingabe_1!F26</f>
        <v>Richtwert</v>
      </c>
      <c r="N9" s="168"/>
      <c r="O9" s="74"/>
      <c r="P9" s="170">
        <f>(IF($M9=$K$4,$K9,$L9)*P$6)</f>
        <v>0</v>
      </c>
      <c r="Q9" s="173">
        <f>(IF($M9=$K$4,$K9,$L9)*Q$6)</f>
        <v>0</v>
      </c>
      <c r="R9" s="165" t="str">
        <f>IF(D9&gt;0,60,"-")</f>
        <v>-</v>
      </c>
      <c r="S9" s="165" t="str">
        <f>IF(D9=0,"",R9*D9)</f>
        <v/>
      </c>
      <c r="T9" s="169">
        <f>Eingabe_1!F27*D9</f>
        <v>0</v>
      </c>
      <c r="U9" s="168" t="str">
        <f>Eingabe_1!F28</f>
        <v>Richtwert</v>
      </c>
      <c r="V9" s="539"/>
      <c r="W9" s="140"/>
      <c r="AC9" s="89">
        <f>IF(M9=K$4,K9,L9)</f>
        <v>0</v>
      </c>
      <c r="AD9" s="90" t="str">
        <f>IF(U9=$S$4,S9,T9)</f>
        <v/>
      </c>
      <c r="AE9" s="90"/>
      <c r="AF9" s="409"/>
    </row>
    <row r="10" spans="1:32" s="141" customFormat="1" ht="13.5" customHeight="1" x14ac:dyDescent="0.2">
      <c r="A10" s="469" t="s">
        <v>127</v>
      </c>
      <c r="B10" s="162"/>
      <c r="C10" s="127"/>
      <c r="D10" s="74"/>
      <c r="E10" s="74"/>
      <c r="F10" s="401"/>
      <c r="G10" s="401"/>
      <c r="H10" s="401"/>
      <c r="I10" s="401"/>
      <c r="J10" s="402"/>
      <c r="K10" s="403"/>
      <c r="L10" s="404"/>
      <c r="M10" s="405"/>
      <c r="N10" s="204"/>
      <c r="O10" s="405"/>
      <c r="P10" s="406"/>
      <c r="Q10" s="407"/>
      <c r="R10" s="165"/>
      <c r="S10" s="165"/>
      <c r="T10" s="404"/>
      <c r="U10" s="405"/>
      <c r="V10" s="538"/>
      <c r="W10" s="140"/>
      <c r="AC10" s="93"/>
      <c r="AF10" s="409"/>
    </row>
    <row r="11" spans="1:32" s="141" customFormat="1" ht="13.5" customHeight="1" x14ac:dyDescent="0.2">
      <c r="A11" s="469" t="s">
        <v>127</v>
      </c>
      <c r="B11" s="162"/>
      <c r="C11" s="127" t="s">
        <v>26</v>
      </c>
      <c r="D11" s="410">
        <f>SUM(D7:D9)</f>
        <v>0</v>
      </c>
      <c r="E11" s="410" t="s">
        <v>25</v>
      </c>
      <c r="F11" s="401"/>
      <c r="G11" s="401"/>
      <c r="H11" s="401"/>
      <c r="I11" s="401"/>
      <c r="J11" s="402"/>
      <c r="K11" s="411">
        <f>SUM(K7:K10)</f>
        <v>0</v>
      </c>
      <c r="L11" s="410">
        <f>SUM(L7:L10)</f>
        <v>0</v>
      </c>
      <c r="M11" s="386">
        <f>AC11</f>
        <v>0</v>
      </c>
      <c r="N11" s="204"/>
      <c r="O11" s="405"/>
      <c r="P11" s="197">
        <f>SUM(P7:P10)</f>
        <v>0</v>
      </c>
      <c r="Q11" s="415">
        <f>SUM(Q7:Q10)</f>
        <v>0</v>
      </c>
      <c r="R11" s="165"/>
      <c r="S11" s="196">
        <f>SUM(S7:S10)</f>
        <v>0</v>
      </c>
      <c r="T11" s="196">
        <f>SUM(T7:T10)</f>
        <v>0</v>
      </c>
      <c r="U11" s="489">
        <f>AD11</f>
        <v>0</v>
      </c>
      <c r="V11" s="540"/>
      <c r="W11" s="140"/>
      <c r="AC11" s="93">
        <f>SUM(AC7:AC10)</f>
        <v>0</v>
      </c>
      <c r="AD11" s="94">
        <f>SUM(AD7:AD10)</f>
        <v>0</v>
      </c>
      <c r="AE11" s="94"/>
      <c r="AF11" s="409"/>
    </row>
    <row r="12" spans="1:32" ht="13.5" customHeight="1" x14ac:dyDescent="0.2">
      <c r="A12" s="466" t="s">
        <v>63</v>
      </c>
      <c r="B12" s="152">
        <v>2</v>
      </c>
      <c r="C12" s="185" t="s">
        <v>63</v>
      </c>
      <c r="D12" s="153"/>
      <c r="E12" s="153"/>
      <c r="F12" s="154" t="s">
        <v>23</v>
      </c>
      <c r="G12" s="155"/>
      <c r="H12" s="153"/>
      <c r="I12" s="154" t="s">
        <v>62</v>
      </c>
      <c r="J12" s="155"/>
      <c r="K12" s="156"/>
      <c r="L12" s="157"/>
      <c r="M12" s="156"/>
      <c r="N12" s="156"/>
      <c r="O12" s="156"/>
      <c r="P12" s="158"/>
      <c r="Q12" s="159"/>
      <c r="R12" s="160"/>
      <c r="S12" s="161"/>
      <c r="T12" s="157"/>
      <c r="U12" s="156"/>
      <c r="V12" s="541"/>
      <c r="W12" s="128"/>
      <c r="AB12" s="141"/>
      <c r="AC12" s="385"/>
      <c r="AF12" s="75"/>
    </row>
    <row r="13" spans="1:32" ht="13.5" customHeight="1" thickBot="1" x14ac:dyDescent="0.25">
      <c r="A13" s="466" t="s">
        <v>63</v>
      </c>
      <c r="B13" s="162"/>
      <c r="C13" s="163" t="s">
        <v>196</v>
      </c>
      <c r="D13" s="164">
        <f>Eingabe_1!F31</f>
        <v>0</v>
      </c>
      <c r="E13" s="163" t="s">
        <v>24</v>
      </c>
      <c r="F13" s="165">
        <f>Eingabe_1!F32</f>
        <v>0</v>
      </c>
      <c r="G13" s="126" t="str">
        <f>Eingabe_1!F33</f>
        <v>Freispiegel</v>
      </c>
      <c r="H13" s="126" t="str">
        <f>Eingabe_1!F34</f>
        <v>Straße</v>
      </c>
      <c r="I13" s="166" t="str">
        <f>Eingabe_1!F35</f>
        <v>2,5m</v>
      </c>
      <c r="J13" s="167">
        <f t="shared" ref="J13:J24" si="0">IF(G13="Freispiegel",VLOOKUP(AF13,C$105:D$108,2,FALSE)*F13+VLOOKUP(AF13,C$105:E$108,3,FALSE),VLOOKUP(AF13,C$109:D$111,2,FALSE)*F13^2+VLOOKUP(AF13,C$109:E$111,3,FALSE)*F13+VLOOKUP(AF13,C$109:F$111,4,FALSE))</f>
        <v>375.99</v>
      </c>
      <c r="K13" s="168">
        <f t="shared" ref="K13:K24" si="1">IF(AND(G13="Freispiegel",H13="Straße ländlich"),"Straße ländlich nur bei Druckleitung zulässig",D13*J13)</f>
        <v>0</v>
      </c>
      <c r="L13" s="169">
        <f>Eingabe_1!F36</f>
        <v>0</v>
      </c>
      <c r="M13" s="168" t="str">
        <f>Eingabe_1!F37</f>
        <v>Richtwert</v>
      </c>
      <c r="N13" s="494"/>
      <c r="O13" s="168"/>
      <c r="P13" s="170"/>
      <c r="Q13" s="171"/>
      <c r="R13" s="369">
        <f>IF(G13="Freispiegel",0.9,IF(G13="Druckleitung",0.6,""))</f>
        <v>0.9</v>
      </c>
      <c r="S13" s="165">
        <f>R13*D13</f>
        <v>0</v>
      </c>
      <c r="T13" s="169">
        <f>Eingabe_1!F38</f>
        <v>0</v>
      </c>
      <c r="U13" s="168" t="str">
        <f>Eingabe_1!F39</f>
        <v>Richtwert</v>
      </c>
      <c r="V13" s="539"/>
      <c r="AB13" s="141"/>
      <c r="AC13" s="89">
        <f t="shared" ref="AC13:AC24" si="2">IF(M13=$K$4,K13,L13)</f>
        <v>0</v>
      </c>
      <c r="AD13" s="90">
        <f t="shared" ref="AD13:AD24" si="3">IF(U13=$S$4,S13,T13)</f>
        <v>0</v>
      </c>
      <c r="AE13" s="90"/>
      <c r="AF13" s="91" t="str">
        <f t="shared" ref="AF13:AF24" si="4">IF(G13="Freispiegel",G13&amp;H13&amp;I13,G13&amp;H13)</f>
        <v>FreispiegelStraße2,5m</v>
      </c>
    </row>
    <row r="14" spans="1:32" ht="13.5" customHeight="1" thickBot="1" x14ac:dyDescent="0.25">
      <c r="A14" s="466" t="s">
        <v>63</v>
      </c>
      <c r="B14" s="162"/>
      <c r="C14" s="163" t="s">
        <v>197</v>
      </c>
      <c r="D14" s="164">
        <f>Eingabe_1!F41</f>
        <v>0</v>
      </c>
      <c r="E14" s="163" t="s">
        <v>24</v>
      </c>
      <c r="F14" s="165">
        <f>Eingabe_1!F42</f>
        <v>0</v>
      </c>
      <c r="G14" s="126" t="str">
        <f>Eingabe_1!F43</f>
        <v>Freispiegel</v>
      </c>
      <c r="H14" s="126" t="str">
        <f>Eingabe_1!F44</f>
        <v>Straße</v>
      </c>
      <c r="I14" s="166" t="str">
        <f>Eingabe_1!F45</f>
        <v>2,5m</v>
      </c>
      <c r="J14" s="167">
        <f t="shared" si="0"/>
        <v>375.99</v>
      </c>
      <c r="K14" s="168">
        <f t="shared" si="1"/>
        <v>0</v>
      </c>
      <c r="L14" s="169">
        <f>Eingabe_1!F46</f>
        <v>0</v>
      </c>
      <c r="M14" s="168" t="str">
        <f>Eingabe_1!F47</f>
        <v>Richtwert</v>
      </c>
      <c r="N14" s="168"/>
      <c r="O14" s="168"/>
      <c r="P14" s="170"/>
      <c r="Q14" s="171"/>
      <c r="R14" s="369">
        <f t="shared" ref="R14:R24" si="5">IF(G14="Freispiegel",0.9,IF(G14="Druckleitung",0.6,""))</f>
        <v>0.9</v>
      </c>
      <c r="S14" s="165">
        <f>R14*D14</f>
        <v>0</v>
      </c>
      <c r="T14" s="169">
        <f>Eingabe_1!F48</f>
        <v>0</v>
      </c>
      <c r="U14" s="168" t="str">
        <f>Eingabe_1!F49</f>
        <v>Richtwert</v>
      </c>
      <c r="V14" s="539"/>
      <c r="AB14" s="141"/>
      <c r="AC14" s="89">
        <f t="shared" si="2"/>
        <v>0</v>
      </c>
      <c r="AD14" s="90">
        <f t="shared" si="3"/>
        <v>0</v>
      </c>
      <c r="AE14" s="90"/>
      <c r="AF14" s="91" t="str">
        <f t="shared" si="4"/>
        <v>FreispiegelStraße2,5m</v>
      </c>
    </row>
    <row r="15" spans="1:32" ht="13.5" customHeight="1" thickBot="1" x14ac:dyDescent="0.25">
      <c r="A15" s="466" t="s">
        <v>63</v>
      </c>
      <c r="B15" s="162"/>
      <c r="C15" s="163" t="s">
        <v>198</v>
      </c>
      <c r="D15" s="164">
        <f>Eingabe_1!F51</f>
        <v>0</v>
      </c>
      <c r="E15" s="163" t="s">
        <v>24</v>
      </c>
      <c r="F15" s="165">
        <f>Eingabe_1!F52</f>
        <v>0</v>
      </c>
      <c r="G15" s="126" t="str">
        <f>Eingabe_1!F53</f>
        <v>Freispiegel</v>
      </c>
      <c r="H15" s="126" t="str">
        <f>Eingabe_1!F54</f>
        <v>Straße</v>
      </c>
      <c r="I15" s="166" t="str">
        <f>Eingabe_1!F55</f>
        <v>2,5m</v>
      </c>
      <c r="J15" s="167">
        <f t="shared" si="0"/>
        <v>375.99</v>
      </c>
      <c r="K15" s="168">
        <f t="shared" si="1"/>
        <v>0</v>
      </c>
      <c r="L15" s="169">
        <f>Eingabe_1!F56</f>
        <v>0</v>
      </c>
      <c r="M15" s="168" t="str">
        <f>Eingabe_1!F57</f>
        <v>Richtwert</v>
      </c>
      <c r="N15" s="168"/>
      <c r="O15" s="168"/>
      <c r="P15" s="170"/>
      <c r="Q15" s="171"/>
      <c r="R15" s="369">
        <f t="shared" si="5"/>
        <v>0.9</v>
      </c>
      <c r="S15" s="165">
        <f>R15*D15</f>
        <v>0</v>
      </c>
      <c r="T15" s="169">
        <f>Eingabe_1!F58</f>
        <v>0</v>
      </c>
      <c r="U15" s="168" t="str">
        <f>Eingabe_1!F59</f>
        <v>Richtwert</v>
      </c>
      <c r="V15" s="539"/>
      <c r="AB15" s="141"/>
      <c r="AC15" s="89">
        <f t="shared" si="2"/>
        <v>0</v>
      </c>
      <c r="AD15" s="90">
        <f t="shared" si="3"/>
        <v>0</v>
      </c>
      <c r="AE15" s="90"/>
      <c r="AF15" s="91" t="str">
        <f t="shared" si="4"/>
        <v>FreispiegelStraße2,5m</v>
      </c>
    </row>
    <row r="16" spans="1:32" ht="13.5" customHeight="1" thickBot="1" x14ac:dyDescent="0.25">
      <c r="A16" s="466" t="s">
        <v>63</v>
      </c>
      <c r="B16" s="162"/>
      <c r="C16" s="163" t="s">
        <v>216</v>
      </c>
      <c r="D16" s="74">
        <f>Eingabe_1!F61</f>
        <v>0</v>
      </c>
      <c r="E16" s="126" t="s">
        <v>24</v>
      </c>
      <c r="F16" s="383">
        <f>Eingabe_1!F62</f>
        <v>0</v>
      </c>
      <c r="G16" s="126" t="str">
        <f>Eingabe_1!F63</f>
        <v>Freispiegel</v>
      </c>
      <c r="H16" s="126" t="str">
        <f>Eingabe_1!F64</f>
        <v>Straße</v>
      </c>
      <c r="I16" s="166" t="str">
        <f>Eingabe_1!F65</f>
        <v>2,5m</v>
      </c>
      <c r="J16" s="167">
        <f t="shared" si="0"/>
        <v>375.99</v>
      </c>
      <c r="K16" s="168">
        <f t="shared" ref="K16:K21" si="6">IF(AND(G16="Freispiegel",H16="Straße ländlich"),"Straße ländlich nur bei Druckleitung zulässig",D16*J16)</f>
        <v>0</v>
      </c>
      <c r="L16" s="169">
        <f>Eingabe_1!F66</f>
        <v>0</v>
      </c>
      <c r="M16" s="168" t="str">
        <f>Eingabe_1!F67</f>
        <v>Richtwert</v>
      </c>
      <c r="N16" s="168"/>
      <c r="O16" s="168"/>
      <c r="P16" s="170"/>
      <c r="Q16" s="171"/>
      <c r="R16" s="369">
        <f t="shared" si="5"/>
        <v>0.9</v>
      </c>
      <c r="S16" s="165">
        <f t="shared" ref="S16:S22" si="7">R16*D16</f>
        <v>0</v>
      </c>
      <c r="T16" s="169">
        <f>Eingabe_1!F68</f>
        <v>0</v>
      </c>
      <c r="U16" s="168" t="str">
        <f>Eingabe_1!F69</f>
        <v>Richtwert</v>
      </c>
      <c r="V16" s="539"/>
      <c r="AB16" s="141"/>
      <c r="AC16" s="89">
        <f t="shared" ref="AC16:AC21" si="8">IF(M16=$K$4,K16,L16)</f>
        <v>0</v>
      </c>
      <c r="AD16" s="90">
        <f t="shared" ref="AD16:AD21" si="9">IF(U16=$S$4,S16,T16)</f>
        <v>0</v>
      </c>
      <c r="AE16" s="90"/>
      <c r="AF16" s="91" t="str">
        <f t="shared" ref="AF16:AF21" si="10">IF(G16="Freispiegel",G16&amp;H16&amp;I16,G16&amp;H16)</f>
        <v>FreispiegelStraße2,5m</v>
      </c>
    </row>
    <row r="17" spans="1:32" ht="13.5" customHeight="1" thickBot="1" x14ac:dyDescent="0.25">
      <c r="A17" s="466" t="s">
        <v>63</v>
      </c>
      <c r="B17" s="162"/>
      <c r="C17" s="163" t="s">
        <v>217</v>
      </c>
      <c r="D17" s="74">
        <f>Eingabe_1!F71</f>
        <v>0</v>
      </c>
      <c r="E17" s="126" t="s">
        <v>24</v>
      </c>
      <c r="F17" s="383">
        <f>Eingabe_1!F72</f>
        <v>0</v>
      </c>
      <c r="G17" s="126" t="str">
        <f>Eingabe_1!F73</f>
        <v>Freispiegel</v>
      </c>
      <c r="H17" s="126" t="str">
        <f>Eingabe_1!F74</f>
        <v>Straße</v>
      </c>
      <c r="I17" s="166" t="str">
        <f>Eingabe_1!F75</f>
        <v>2,5m</v>
      </c>
      <c r="J17" s="167">
        <f t="shared" si="0"/>
        <v>375.99</v>
      </c>
      <c r="K17" s="168">
        <f t="shared" si="6"/>
        <v>0</v>
      </c>
      <c r="L17" s="169">
        <f>Eingabe_1!F76</f>
        <v>0</v>
      </c>
      <c r="M17" s="168" t="str">
        <f>Eingabe_1!F77</f>
        <v>Richtwert</v>
      </c>
      <c r="N17" s="168"/>
      <c r="O17" s="168"/>
      <c r="P17" s="170"/>
      <c r="Q17" s="171"/>
      <c r="R17" s="369">
        <f t="shared" si="5"/>
        <v>0.9</v>
      </c>
      <c r="S17" s="165">
        <f t="shared" si="7"/>
        <v>0</v>
      </c>
      <c r="T17" s="169">
        <f>Eingabe_1!F78</f>
        <v>0</v>
      </c>
      <c r="U17" s="168" t="str">
        <f>Eingabe_1!F79</f>
        <v>Richtwert</v>
      </c>
      <c r="V17" s="539"/>
      <c r="AB17" s="141"/>
      <c r="AC17" s="89">
        <f t="shared" si="8"/>
        <v>0</v>
      </c>
      <c r="AD17" s="90">
        <f t="shared" si="9"/>
        <v>0</v>
      </c>
      <c r="AE17" s="90"/>
      <c r="AF17" s="91" t="str">
        <f t="shared" si="10"/>
        <v>FreispiegelStraße2,5m</v>
      </c>
    </row>
    <row r="18" spans="1:32" ht="13.5" customHeight="1" thickBot="1" x14ac:dyDescent="0.25">
      <c r="A18" s="466" t="s">
        <v>63</v>
      </c>
      <c r="B18" s="162"/>
      <c r="C18" s="163" t="s">
        <v>218</v>
      </c>
      <c r="D18" s="74">
        <f>Eingabe_1!F81</f>
        <v>0</v>
      </c>
      <c r="E18" s="126" t="s">
        <v>24</v>
      </c>
      <c r="F18" s="383">
        <f>Eingabe_1!F82</f>
        <v>0</v>
      </c>
      <c r="G18" s="126" t="str">
        <f>Eingabe_1!F83</f>
        <v>Freispiegel</v>
      </c>
      <c r="H18" s="126" t="str">
        <f>Eingabe_1!F84</f>
        <v>Straße</v>
      </c>
      <c r="I18" s="166" t="str">
        <f>Eingabe_1!F85</f>
        <v>2,5m</v>
      </c>
      <c r="J18" s="167">
        <f t="shared" si="0"/>
        <v>375.99</v>
      </c>
      <c r="K18" s="168">
        <f t="shared" si="6"/>
        <v>0</v>
      </c>
      <c r="L18" s="169">
        <f>Eingabe_1!F86</f>
        <v>0</v>
      </c>
      <c r="M18" s="168" t="str">
        <f>Eingabe_1!F87</f>
        <v>Richtwert</v>
      </c>
      <c r="N18" s="168"/>
      <c r="O18" s="168"/>
      <c r="P18" s="170"/>
      <c r="Q18" s="171"/>
      <c r="R18" s="369">
        <f t="shared" si="5"/>
        <v>0.9</v>
      </c>
      <c r="S18" s="165">
        <f t="shared" si="7"/>
        <v>0</v>
      </c>
      <c r="T18" s="169">
        <f>Eingabe_1!F88</f>
        <v>0</v>
      </c>
      <c r="U18" s="168" t="str">
        <f>Eingabe_1!F89</f>
        <v>Richtwert</v>
      </c>
      <c r="V18" s="539"/>
      <c r="AB18" s="141"/>
      <c r="AC18" s="89">
        <f t="shared" si="8"/>
        <v>0</v>
      </c>
      <c r="AD18" s="90">
        <f t="shared" si="9"/>
        <v>0</v>
      </c>
      <c r="AE18" s="90"/>
      <c r="AF18" s="91" t="str">
        <f t="shared" si="10"/>
        <v>FreispiegelStraße2,5m</v>
      </c>
    </row>
    <row r="19" spans="1:32" ht="13.5" customHeight="1" thickBot="1" x14ac:dyDescent="0.25">
      <c r="A19" s="466" t="s">
        <v>63</v>
      </c>
      <c r="B19" s="162"/>
      <c r="C19" s="163" t="s">
        <v>220</v>
      </c>
      <c r="D19" s="74">
        <f>Eingabe_1!F91</f>
        <v>0</v>
      </c>
      <c r="E19" s="126" t="s">
        <v>24</v>
      </c>
      <c r="F19" s="383">
        <f>Eingabe_1!F92</f>
        <v>0</v>
      </c>
      <c r="G19" s="126" t="str">
        <f>Eingabe_1!F93</f>
        <v>Freispiegel</v>
      </c>
      <c r="H19" s="126" t="str">
        <f>Eingabe_1!F94</f>
        <v>Straße</v>
      </c>
      <c r="I19" s="166" t="str">
        <f>Eingabe_1!F95</f>
        <v>2,5m</v>
      </c>
      <c r="J19" s="167">
        <f t="shared" si="0"/>
        <v>375.99</v>
      </c>
      <c r="K19" s="168">
        <f t="shared" si="6"/>
        <v>0</v>
      </c>
      <c r="L19" s="169">
        <f>Eingabe_1!F96</f>
        <v>0</v>
      </c>
      <c r="M19" s="168" t="str">
        <f>Eingabe_1!F97</f>
        <v>Richtwert</v>
      </c>
      <c r="N19" s="168"/>
      <c r="O19" s="168"/>
      <c r="P19" s="170"/>
      <c r="Q19" s="171"/>
      <c r="R19" s="369">
        <f t="shared" si="5"/>
        <v>0.9</v>
      </c>
      <c r="S19" s="165">
        <f t="shared" si="7"/>
        <v>0</v>
      </c>
      <c r="T19" s="169">
        <f>Eingabe_1!F98</f>
        <v>0</v>
      </c>
      <c r="U19" s="168" t="str">
        <f>Eingabe_1!F99</f>
        <v>Richtwert</v>
      </c>
      <c r="V19" s="539"/>
      <c r="AB19" s="141"/>
      <c r="AC19" s="89">
        <f t="shared" si="8"/>
        <v>0</v>
      </c>
      <c r="AD19" s="90">
        <f t="shared" si="9"/>
        <v>0</v>
      </c>
      <c r="AE19" s="90"/>
      <c r="AF19" s="91" t="str">
        <f t="shared" si="10"/>
        <v>FreispiegelStraße2,5m</v>
      </c>
    </row>
    <row r="20" spans="1:32" ht="13.5" customHeight="1" thickBot="1" x14ac:dyDescent="0.25">
      <c r="A20" s="466" t="s">
        <v>63</v>
      </c>
      <c r="B20" s="162"/>
      <c r="C20" s="163" t="s">
        <v>221</v>
      </c>
      <c r="D20" s="74">
        <f>Eingabe_1!F101</f>
        <v>0</v>
      </c>
      <c r="E20" s="126" t="s">
        <v>24</v>
      </c>
      <c r="F20" s="383">
        <f>Eingabe_1!F102</f>
        <v>0</v>
      </c>
      <c r="G20" s="126" t="str">
        <f>Eingabe_1!F103</f>
        <v>Freispiegel</v>
      </c>
      <c r="H20" s="126" t="str">
        <f>Eingabe_1!F104</f>
        <v>Straße</v>
      </c>
      <c r="I20" s="166" t="str">
        <f>Eingabe_1!F105</f>
        <v>2,5m</v>
      </c>
      <c r="J20" s="167">
        <f t="shared" si="0"/>
        <v>375.99</v>
      </c>
      <c r="K20" s="168">
        <f t="shared" si="6"/>
        <v>0</v>
      </c>
      <c r="L20" s="169">
        <f>Eingabe_1!F106</f>
        <v>0</v>
      </c>
      <c r="M20" s="168" t="str">
        <f>Eingabe_1!F107</f>
        <v>Richtwert</v>
      </c>
      <c r="N20" s="168"/>
      <c r="O20" s="168"/>
      <c r="P20" s="170"/>
      <c r="Q20" s="171"/>
      <c r="R20" s="369">
        <f t="shared" si="5"/>
        <v>0.9</v>
      </c>
      <c r="S20" s="165">
        <f t="shared" si="7"/>
        <v>0</v>
      </c>
      <c r="T20" s="169">
        <f>Eingabe_1!F108</f>
        <v>0</v>
      </c>
      <c r="U20" s="168" t="str">
        <f>Eingabe_1!F109</f>
        <v>Richtwert</v>
      </c>
      <c r="V20" s="539"/>
      <c r="AB20" s="141"/>
      <c r="AC20" s="89">
        <f t="shared" si="8"/>
        <v>0</v>
      </c>
      <c r="AD20" s="90">
        <f t="shared" si="9"/>
        <v>0</v>
      </c>
      <c r="AE20" s="90"/>
      <c r="AF20" s="91" t="str">
        <f t="shared" si="10"/>
        <v>FreispiegelStraße2,5m</v>
      </c>
    </row>
    <row r="21" spans="1:32" ht="13.5" customHeight="1" thickBot="1" x14ac:dyDescent="0.25">
      <c r="A21" s="466" t="s">
        <v>63</v>
      </c>
      <c r="B21" s="162"/>
      <c r="C21" s="163" t="s">
        <v>222</v>
      </c>
      <c r="D21" s="74">
        <f>Eingabe_1!F111</f>
        <v>0</v>
      </c>
      <c r="E21" s="126" t="s">
        <v>24</v>
      </c>
      <c r="F21" s="383">
        <f>Eingabe_1!F112</f>
        <v>0</v>
      </c>
      <c r="G21" s="126" t="str">
        <f>Eingabe_1!F113</f>
        <v>Freispiegel</v>
      </c>
      <c r="H21" s="126" t="str">
        <f>Eingabe_1!F114</f>
        <v>Straße</v>
      </c>
      <c r="I21" s="166" t="str">
        <f>Eingabe_1!F115</f>
        <v>2,5m</v>
      </c>
      <c r="J21" s="167">
        <f t="shared" si="0"/>
        <v>375.99</v>
      </c>
      <c r="K21" s="168">
        <f t="shared" si="6"/>
        <v>0</v>
      </c>
      <c r="L21" s="169">
        <f>Eingabe_1!F116</f>
        <v>0</v>
      </c>
      <c r="M21" s="168" t="str">
        <f>Eingabe_1!F117</f>
        <v>Richtwert</v>
      </c>
      <c r="N21" s="168"/>
      <c r="O21" s="168"/>
      <c r="P21" s="170"/>
      <c r="Q21" s="171"/>
      <c r="R21" s="369">
        <f t="shared" si="5"/>
        <v>0.9</v>
      </c>
      <c r="S21" s="165">
        <f t="shared" si="7"/>
        <v>0</v>
      </c>
      <c r="T21" s="169">
        <f>Eingabe_1!F118</f>
        <v>0</v>
      </c>
      <c r="U21" s="168" t="str">
        <f>Eingabe_1!F119</f>
        <v>Richtwert</v>
      </c>
      <c r="V21" s="539"/>
      <c r="AB21" s="141"/>
      <c r="AC21" s="89">
        <f t="shared" si="8"/>
        <v>0</v>
      </c>
      <c r="AD21" s="90">
        <f t="shared" si="9"/>
        <v>0</v>
      </c>
      <c r="AE21" s="90"/>
      <c r="AF21" s="91" t="str">
        <f t="shared" si="10"/>
        <v>FreispiegelStraße2,5m</v>
      </c>
    </row>
    <row r="22" spans="1:32" ht="13.5" customHeight="1" thickBot="1" x14ac:dyDescent="0.25">
      <c r="A22" s="466" t="s">
        <v>63</v>
      </c>
      <c r="B22" s="162"/>
      <c r="C22" s="394" t="s">
        <v>199</v>
      </c>
      <c r="D22" s="412">
        <f>Eingabe_1!F122</f>
        <v>0</v>
      </c>
      <c r="E22" s="394" t="s">
        <v>24</v>
      </c>
      <c r="F22" s="397">
        <f>Eingabe_1!F123</f>
        <v>0</v>
      </c>
      <c r="G22" s="398" t="str">
        <f>Eingabe_1!F124</f>
        <v>Druckleitung</v>
      </c>
      <c r="H22" s="398" t="str">
        <f>Eingabe_1!F125</f>
        <v>Gelände</v>
      </c>
      <c r="I22" s="399" t="str">
        <f>Eingabe_1!F126</f>
        <v>2,5m</v>
      </c>
      <c r="J22" s="413">
        <f t="shared" si="0"/>
        <v>175.5</v>
      </c>
      <c r="K22" s="168">
        <f t="shared" si="1"/>
        <v>0</v>
      </c>
      <c r="L22" s="169">
        <f>Eingabe_1!F127</f>
        <v>0</v>
      </c>
      <c r="M22" s="168" t="str">
        <f>Eingabe_1!F128</f>
        <v>Richtwert</v>
      </c>
      <c r="N22" s="168"/>
      <c r="O22" s="168"/>
      <c r="P22" s="170"/>
      <c r="Q22" s="173"/>
      <c r="R22" s="369">
        <f t="shared" si="5"/>
        <v>0.6</v>
      </c>
      <c r="S22" s="165">
        <f t="shared" si="7"/>
        <v>0</v>
      </c>
      <c r="T22" s="169">
        <f>Eingabe_1!F129</f>
        <v>0</v>
      </c>
      <c r="U22" s="168" t="str">
        <f>Eingabe_1!F130</f>
        <v>Richtwert</v>
      </c>
      <c r="V22" s="539"/>
      <c r="AB22" s="141"/>
      <c r="AC22" s="89">
        <f t="shared" si="2"/>
        <v>0</v>
      </c>
      <c r="AD22" s="90">
        <f t="shared" si="3"/>
        <v>0</v>
      </c>
      <c r="AE22" s="90"/>
      <c r="AF22" s="91" t="str">
        <f t="shared" si="4"/>
        <v>DruckleitungGelände</v>
      </c>
    </row>
    <row r="23" spans="1:32" ht="13.5" customHeight="1" thickBot="1" x14ac:dyDescent="0.25">
      <c r="A23" s="466" t="s">
        <v>63</v>
      </c>
      <c r="B23" s="162"/>
      <c r="C23" s="394" t="s">
        <v>200</v>
      </c>
      <c r="D23" s="396">
        <f>Eingabe_1!F133</f>
        <v>0</v>
      </c>
      <c r="E23" s="394" t="s">
        <v>24</v>
      </c>
      <c r="F23" s="397">
        <f>Eingabe_1!F134</f>
        <v>0</v>
      </c>
      <c r="G23" s="398" t="str">
        <f>Eingabe_1!F135</f>
        <v>Druckleitung</v>
      </c>
      <c r="H23" s="398" t="str">
        <f>Eingabe_1!F136</f>
        <v>Straße ländlich</v>
      </c>
      <c r="I23" s="399" t="str">
        <f>Eingabe_1!F137</f>
        <v>2,5m</v>
      </c>
      <c r="J23" s="413">
        <f t="shared" si="0"/>
        <v>282.5</v>
      </c>
      <c r="K23" s="168">
        <f t="shared" si="1"/>
        <v>0</v>
      </c>
      <c r="L23" s="340">
        <f>Eingabe_1!F138</f>
        <v>0</v>
      </c>
      <c r="M23" s="168" t="str">
        <f>Eingabe_1!F139</f>
        <v>Richtwert</v>
      </c>
      <c r="N23" s="168"/>
      <c r="O23" s="168"/>
      <c r="P23" s="170"/>
      <c r="Q23" s="173"/>
      <c r="R23" s="369">
        <f t="shared" si="5"/>
        <v>0.6</v>
      </c>
      <c r="S23" s="165">
        <f>R23*D23</f>
        <v>0</v>
      </c>
      <c r="T23" s="169">
        <f>Eingabe_1!F140</f>
        <v>0</v>
      </c>
      <c r="U23" s="168" t="str">
        <f>Eingabe_1!F141</f>
        <v>Richtwert</v>
      </c>
      <c r="V23" s="539"/>
      <c r="AB23" s="141"/>
      <c r="AC23" s="89">
        <f t="shared" si="2"/>
        <v>0</v>
      </c>
      <c r="AD23" s="90">
        <f t="shared" si="3"/>
        <v>0</v>
      </c>
      <c r="AE23" s="90"/>
      <c r="AF23" s="91" t="str">
        <f t="shared" si="4"/>
        <v>DruckleitungStraße ländlich</v>
      </c>
    </row>
    <row r="24" spans="1:32" ht="13.5" customHeight="1" thickBot="1" x14ac:dyDescent="0.25">
      <c r="A24" s="466" t="s">
        <v>63</v>
      </c>
      <c r="B24" s="162"/>
      <c r="C24" s="394" t="s">
        <v>201</v>
      </c>
      <c r="D24" s="396">
        <f>Eingabe_1!F144</f>
        <v>0</v>
      </c>
      <c r="E24" s="394" t="s">
        <v>24</v>
      </c>
      <c r="F24" s="397">
        <f>Eingabe_1!F145</f>
        <v>0</v>
      </c>
      <c r="G24" s="398" t="str">
        <f>Eingabe_1!F146</f>
        <v>Druckleitung</v>
      </c>
      <c r="H24" s="398" t="str">
        <f>Eingabe_1!F147</f>
        <v>Straße</v>
      </c>
      <c r="I24" s="399" t="str">
        <f>Eingabe_1!F148</f>
        <v>2,5m</v>
      </c>
      <c r="J24" s="413">
        <f t="shared" si="0"/>
        <v>381.5</v>
      </c>
      <c r="K24" s="168">
        <f t="shared" si="1"/>
        <v>0</v>
      </c>
      <c r="L24" s="340">
        <f>Eingabe_1!F149</f>
        <v>0</v>
      </c>
      <c r="M24" s="168" t="str">
        <f>Eingabe_1!F150</f>
        <v>Richtwert</v>
      </c>
      <c r="N24" s="168"/>
      <c r="O24" s="168"/>
      <c r="P24" s="170"/>
      <c r="Q24" s="173"/>
      <c r="R24" s="369">
        <f t="shared" si="5"/>
        <v>0.6</v>
      </c>
      <c r="S24" s="165">
        <f>R24*D24</f>
        <v>0</v>
      </c>
      <c r="T24" s="169">
        <f>Eingabe_1!F151</f>
        <v>0</v>
      </c>
      <c r="U24" s="168" t="str">
        <f>Eingabe_1!F152</f>
        <v>Richtwert</v>
      </c>
      <c r="V24" s="539"/>
      <c r="AB24" s="141"/>
      <c r="AC24" s="89">
        <f t="shared" si="2"/>
        <v>0</v>
      </c>
      <c r="AD24" s="90">
        <f t="shared" si="3"/>
        <v>0</v>
      </c>
      <c r="AE24" s="90"/>
      <c r="AF24" s="91" t="str">
        <f t="shared" si="4"/>
        <v>DruckleitungStraße</v>
      </c>
    </row>
    <row r="25" spans="1:32" ht="13.5" customHeight="1" x14ac:dyDescent="0.2">
      <c r="A25" s="466" t="s">
        <v>63</v>
      </c>
      <c r="B25" s="176"/>
      <c r="C25" s="177" t="s">
        <v>26</v>
      </c>
      <c r="D25" s="178">
        <f>SUM(D13:D24)</f>
        <v>0</v>
      </c>
      <c r="E25" s="178" t="s">
        <v>24</v>
      </c>
      <c r="F25" s="178"/>
      <c r="H25" s="178"/>
      <c r="I25" s="178"/>
      <c r="J25" s="151"/>
      <c r="K25" s="179">
        <f>SUM(K13:K24)</f>
        <v>0</v>
      </c>
      <c r="L25" s="180">
        <f>SUM(L13:L24)</f>
        <v>0</v>
      </c>
      <c r="M25" s="196">
        <f>AC25</f>
        <v>0</v>
      </c>
      <c r="N25" s="204"/>
      <c r="O25" s="182"/>
      <c r="P25" s="150"/>
      <c r="Q25" s="183"/>
      <c r="R25" s="165"/>
      <c r="S25" s="184">
        <f>SUM(S13:S24)</f>
        <v>0</v>
      </c>
      <c r="T25" s="180">
        <f>SUM(T13:T24)</f>
        <v>0</v>
      </c>
      <c r="U25" s="196">
        <f>AD25</f>
        <v>0</v>
      </c>
      <c r="V25" s="540"/>
      <c r="W25" s="128"/>
      <c r="AB25" s="141"/>
      <c r="AC25" s="93">
        <f>SUM(AC13:AC24)</f>
        <v>0</v>
      </c>
      <c r="AD25" s="94">
        <f>SUM(AD13:AD24)</f>
        <v>0</v>
      </c>
      <c r="AE25" s="94"/>
      <c r="AF25" s="75"/>
    </row>
    <row r="26" spans="1:32" s="192" customFormat="1" ht="13.5" customHeight="1" x14ac:dyDescent="0.2">
      <c r="A26" s="467" t="s">
        <v>245</v>
      </c>
      <c r="B26" s="152">
        <v>3</v>
      </c>
      <c r="C26" s="185" t="s">
        <v>214</v>
      </c>
      <c r="D26" s="156"/>
      <c r="E26" s="153"/>
      <c r="F26" s="153"/>
      <c r="G26" s="155"/>
      <c r="H26" s="153"/>
      <c r="I26" s="153"/>
      <c r="J26" s="165"/>
      <c r="K26" s="165"/>
      <c r="L26" s="186"/>
      <c r="M26" s="165"/>
      <c r="N26" s="201"/>
      <c r="O26" s="165"/>
      <c r="P26" s="187">
        <v>0.6</v>
      </c>
      <c r="Q26" s="188">
        <v>0.4</v>
      </c>
      <c r="R26" s="189" t="s">
        <v>189</v>
      </c>
      <c r="S26" s="190" t="s">
        <v>27</v>
      </c>
      <c r="T26" s="186"/>
      <c r="U26" s="165"/>
      <c r="V26" s="542"/>
      <c r="W26" s="191"/>
      <c r="AB26" s="141"/>
      <c r="AC26" s="95"/>
      <c r="AD26" s="90"/>
      <c r="AE26" s="90"/>
      <c r="AF26" s="96"/>
    </row>
    <row r="27" spans="1:32" s="192" customFormat="1" ht="13.5" customHeight="1" x14ac:dyDescent="0.2">
      <c r="A27" s="467" t="s">
        <v>245</v>
      </c>
      <c r="B27" s="162"/>
      <c r="C27" s="126" t="s">
        <v>153</v>
      </c>
      <c r="D27" s="74">
        <f>Eingabe_2!F7</f>
        <v>0</v>
      </c>
      <c r="E27" s="74" t="s">
        <v>22</v>
      </c>
      <c r="F27" s="74">
        <f>Eingabe_2!F8</f>
        <v>0</v>
      </c>
      <c r="G27" s="126" t="s">
        <v>29</v>
      </c>
      <c r="H27" s="74"/>
      <c r="I27" s="74"/>
      <c r="J27" s="165"/>
      <c r="K27" s="165">
        <f>90967*D27^0.6109</f>
        <v>0</v>
      </c>
      <c r="L27" s="169">
        <f>Eingabe_2!F9</f>
        <v>0</v>
      </c>
      <c r="M27" s="168" t="str">
        <f>Eingabe_2!F10</f>
        <v>Richtwert</v>
      </c>
      <c r="N27" s="525">
        <f>Eingabe_2!F11</f>
        <v>1</v>
      </c>
      <c r="O27" s="168"/>
      <c r="P27" s="170">
        <f t="shared" ref="P27:Q34" si="11">(IF($M27=$K$4,$K27,$L27)*P$26)</f>
        <v>0</v>
      </c>
      <c r="Q27" s="165">
        <f t="shared" si="11"/>
        <v>0</v>
      </c>
      <c r="R27" s="170" t="str">
        <f>IF(D27&gt;0,1800,"-")</f>
        <v>-</v>
      </c>
      <c r="S27" s="165">
        <f>IF(AND(D27&gt;0,F27&gt;0),(F27+100)*1.75,0)</f>
        <v>0</v>
      </c>
      <c r="T27" s="169">
        <f>Eingabe_2!F12</f>
        <v>0</v>
      </c>
      <c r="U27" s="168" t="str">
        <f>Eingabe_2!F13</f>
        <v>Richtwert</v>
      </c>
      <c r="V27" s="539"/>
      <c r="W27" s="191"/>
      <c r="AB27" s="141"/>
      <c r="AC27" s="89">
        <f>IF(M27=K$4,K27*N27,L27*N27)</f>
        <v>0</v>
      </c>
      <c r="AD27" s="90">
        <f>IF(U27=T$4,T27,IF(OR(R27="-",S27="-"),0,R27+S27))</f>
        <v>0</v>
      </c>
      <c r="AE27" s="90"/>
      <c r="AF27" s="96"/>
    </row>
    <row r="28" spans="1:32" s="192" customFormat="1" ht="13.5" customHeight="1" x14ac:dyDescent="0.2">
      <c r="A28" s="467" t="s">
        <v>245</v>
      </c>
      <c r="B28" s="162"/>
      <c r="C28" s="126" t="s">
        <v>154</v>
      </c>
      <c r="D28" s="74">
        <f>Eingabe_2!F16</f>
        <v>0</v>
      </c>
      <c r="E28" s="74" t="s">
        <v>22</v>
      </c>
      <c r="F28" s="74">
        <f>Eingabe_2!F17</f>
        <v>0</v>
      </c>
      <c r="G28" s="126" t="s">
        <v>29</v>
      </c>
      <c r="H28" s="74"/>
      <c r="I28" s="74"/>
      <c r="J28" s="165"/>
      <c r="K28" s="165">
        <f t="shared" ref="K28:K31" si="12">90967*D28^0.6109</f>
        <v>0</v>
      </c>
      <c r="L28" s="169">
        <f>Eingabe_2!F18</f>
        <v>0</v>
      </c>
      <c r="M28" s="168" t="str">
        <f>Eingabe_2!F19</f>
        <v>Richtwert</v>
      </c>
      <c r="N28" s="525">
        <f>Eingabe_2!F20</f>
        <v>1</v>
      </c>
      <c r="O28" s="168"/>
      <c r="P28" s="170">
        <f t="shared" si="11"/>
        <v>0</v>
      </c>
      <c r="Q28" s="165">
        <f t="shared" si="11"/>
        <v>0</v>
      </c>
      <c r="R28" s="170" t="str">
        <f t="shared" ref="R28:R31" si="13">IF(D28&gt;0,1800,"-")</f>
        <v>-</v>
      </c>
      <c r="S28" s="165">
        <f t="shared" ref="S28:S29" si="14">IF(AND(D28&gt;0,F28&gt;0),(F28+100)*1.75,0)</f>
        <v>0</v>
      </c>
      <c r="T28" s="169">
        <f>Eingabe_2!F21</f>
        <v>0</v>
      </c>
      <c r="U28" s="168" t="str">
        <f>Eingabe_2!F22</f>
        <v>Richtwert</v>
      </c>
      <c r="V28" s="539"/>
      <c r="W28" s="191"/>
      <c r="AC28" s="89">
        <f t="shared" ref="AC28:AC33" si="15">IF(M28=K$4,K28*N28,L28*N28)</f>
        <v>0</v>
      </c>
      <c r="AD28" s="90">
        <f>IF(U28=T$4,T28,IF(OR(R28="-",S28="-"),0,R28+S28))</f>
        <v>0</v>
      </c>
      <c r="AE28" s="90"/>
      <c r="AF28" s="96"/>
    </row>
    <row r="29" spans="1:32" s="192" customFormat="1" ht="13.5" customHeight="1" x14ac:dyDescent="0.2">
      <c r="A29" s="467" t="s">
        <v>245</v>
      </c>
      <c r="B29" s="162"/>
      <c r="C29" s="126" t="s">
        <v>155</v>
      </c>
      <c r="D29" s="74">
        <f>Eingabe_2!F25</f>
        <v>0</v>
      </c>
      <c r="E29" s="74" t="s">
        <v>22</v>
      </c>
      <c r="F29" s="74">
        <f>Eingabe_2!F26</f>
        <v>0</v>
      </c>
      <c r="G29" s="126" t="s">
        <v>29</v>
      </c>
      <c r="H29" s="74"/>
      <c r="I29" s="74"/>
      <c r="J29" s="165"/>
      <c r="K29" s="165">
        <f t="shared" si="12"/>
        <v>0</v>
      </c>
      <c r="L29" s="169">
        <f>Eingabe_2!F27</f>
        <v>0</v>
      </c>
      <c r="M29" s="168" t="str">
        <f>Eingabe_2!F28</f>
        <v>Richtwert</v>
      </c>
      <c r="N29" s="525">
        <f>Eingabe_2!F29</f>
        <v>1</v>
      </c>
      <c r="O29" s="168"/>
      <c r="P29" s="170">
        <f t="shared" si="11"/>
        <v>0</v>
      </c>
      <c r="Q29" s="165">
        <f t="shared" si="11"/>
        <v>0</v>
      </c>
      <c r="R29" s="170" t="str">
        <f t="shared" si="13"/>
        <v>-</v>
      </c>
      <c r="S29" s="165">
        <f t="shared" si="14"/>
        <v>0</v>
      </c>
      <c r="T29" s="169">
        <f>Eingabe_2!F30</f>
        <v>0</v>
      </c>
      <c r="U29" s="168" t="str">
        <f>Eingabe_2!F31</f>
        <v>Richtwert</v>
      </c>
      <c r="V29" s="539"/>
      <c r="W29" s="191"/>
      <c r="AC29" s="89">
        <f t="shared" si="15"/>
        <v>0</v>
      </c>
      <c r="AD29" s="90">
        <f>IF(U29=T$4,T29,IF(OR(R29="-",S29="-"),0,R29+S29))</f>
        <v>0</v>
      </c>
      <c r="AE29" s="90"/>
      <c r="AF29" s="96"/>
    </row>
    <row r="30" spans="1:32" s="192" customFormat="1" ht="13.5" customHeight="1" x14ac:dyDescent="0.2">
      <c r="A30" s="467" t="s">
        <v>245</v>
      </c>
      <c r="B30" s="162"/>
      <c r="C30" s="126" t="s">
        <v>243</v>
      </c>
      <c r="D30" s="74">
        <f>Eingabe_2!F34</f>
        <v>0</v>
      </c>
      <c r="E30" s="74" t="s">
        <v>22</v>
      </c>
      <c r="F30" s="74">
        <f>Eingabe_2!F35</f>
        <v>0</v>
      </c>
      <c r="G30" s="126" t="s">
        <v>29</v>
      </c>
      <c r="H30" s="74"/>
      <c r="I30" s="74"/>
      <c r="J30" s="165"/>
      <c r="K30" s="165">
        <f t="shared" si="12"/>
        <v>0</v>
      </c>
      <c r="L30" s="463">
        <f>Eingabe_2!F36</f>
        <v>0</v>
      </c>
      <c r="M30" s="168" t="str">
        <f>Eingabe_2!F37</f>
        <v>Richtwert</v>
      </c>
      <c r="N30" s="525">
        <f>Eingabe_2!F38</f>
        <v>1</v>
      </c>
      <c r="O30" s="168"/>
      <c r="P30" s="170">
        <f t="shared" si="11"/>
        <v>0</v>
      </c>
      <c r="Q30" s="165">
        <f t="shared" si="11"/>
        <v>0</v>
      </c>
      <c r="R30" s="170" t="str">
        <f t="shared" si="13"/>
        <v>-</v>
      </c>
      <c r="S30" s="165">
        <f t="shared" ref="S30:S31" si="16">IF(AND(D30&gt;0,F30&gt;0),F30*2.7,0)</f>
        <v>0</v>
      </c>
      <c r="T30" s="463">
        <f>Eingabe_2!F39</f>
        <v>0</v>
      </c>
      <c r="U30" s="168" t="str">
        <f>Eingabe_2!F40</f>
        <v>Richtwert</v>
      </c>
      <c r="V30" s="539"/>
      <c r="W30" s="191"/>
      <c r="AC30" s="89">
        <f t="shared" si="15"/>
        <v>0</v>
      </c>
      <c r="AD30" s="90">
        <f t="shared" ref="AD30:AD31" si="17">IF(U30=T$4,T30,IF(OR(R30="-",S30="-"),0,R30+S30))</f>
        <v>0</v>
      </c>
      <c r="AE30" s="90"/>
      <c r="AF30" s="96"/>
    </row>
    <row r="31" spans="1:32" s="192" customFormat="1" ht="13.5" customHeight="1" x14ac:dyDescent="0.2">
      <c r="A31" s="467" t="s">
        <v>245</v>
      </c>
      <c r="B31" s="162"/>
      <c r="C31" s="126" t="s">
        <v>244</v>
      </c>
      <c r="D31" s="74">
        <f>Eingabe_2!F43</f>
        <v>0</v>
      </c>
      <c r="E31" s="74" t="s">
        <v>22</v>
      </c>
      <c r="F31" s="74">
        <f>Eingabe_2!F44</f>
        <v>0</v>
      </c>
      <c r="G31" s="126" t="s">
        <v>29</v>
      </c>
      <c r="H31" s="74"/>
      <c r="I31" s="74"/>
      <c r="J31" s="165"/>
      <c r="K31" s="165">
        <f t="shared" si="12"/>
        <v>0</v>
      </c>
      <c r="L31" s="463">
        <f>Eingabe_2!F45</f>
        <v>0</v>
      </c>
      <c r="M31" s="168" t="str">
        <f>Eingabe_2!F46</f>
        <v>Richtwert</v>
      </c>
      <c r="N31" s="525">
        <f>Eingabe_2!F47</f>
        <v>1</v>
      </c>
      <c r="O31" s="168"/>
      <c r="P31" s="170">
        <f t="shared" si="11"/>
        <v>0</v>
      </c>
      <c r="Q31" s="165">
        <f t="shared" si="11"/>
        <v>0</v>
      </c>
      <c r="R31" s="170" t="str">
        <f t="shared" si="13"/>
        <v>-</v>
      </c>
      <c r="S31" s="165">
        <f t="shared" si="16"/>
        <v>0</v>
      </c>
      <c r="T31" s="463">
        <f>Eingabe_2!F48</f>
        <v>0</v>
      </c>
      <c r="U31" s="168" t="str">
        <f>Eingabe_2!F49</f>
        <v>Richtwert</v>
      </c>
      <c r="V31" s="539"/>
      <c r="W31" s="191"/>
      <c r="AC31" s="89">
        <f t="shared" si="15"/>
        <v>0</v>
      </c>
      <c r="AD31" s="90">
        <f t="shared" si="17"/>
        <v>0</v>
      </c>
      <c r="AE31" s="90"/>
      <c r="AF31" s="96"/>
    </row>
    <row r="32" spans="1:32" s="192" customFormat="1" ht="13.5" customHeight="1" x14ac:dyDescent="0.2">
      <c r="A32" s="467" t="s">
        <v>245</v>
      </c>
      <c r="B32" s="162"/>
      <c r="C32" s="126" t="s">
        <v>215</v>
      </c>
      <c r="D32" s="74"/>
      <c r="E32" s="74"/>
      <c r="F32" s="74">
        <f>Eingabe_2!F52</f>
        <v>0</v>
      </c>
      <c r="G32" s="126" t="s">
        <v>29</v>
      </c>
      <c r="H32" s="74"/>
      <c r="I32" s="74"/>
      <c r="J32" s="389"/>
      <c r="K32" s="165">
        <f>IF(F32=0,0,(0.0000006*F32^4)-(0.0013*F32^3)+(0.9796*F32^2)-(16.098*F32)+138587)*0.3*1.5</f>
        <v>0</v>
      </c>
      <c r="L32" s="169">
        <f>Eingabe_2!F53</f>
        <v>0</v>
      </c>
      <c r="M32" s="168" t="str">
        <f>Eingabe_2!F54</f>
        <v>Richtwert</v>
      </c>
      <c r="N32" s="525">
        <f>Eingabe_2!F55</f>
        <v>1</v>
      </c>
      <c r="O32" s="168"/>
      <c r="P32" s="170">
        <f t="shared" si="11"/>
        <v>0</v>
      </c>
      <c r="Q32" s="165">
        <f t="shared" si="11"/>
        <v>0</v>
      </c>
      <c r="R32" s="170" t="str">
        <f>IF(F32&gt;0,1200,"-")</f>
        <v>-</v>
      </c>
      <c r="S32" s="165" t="str">
        <f>IF(F32&gt;0,F32*8.75,"-")</f>
        <v>-</v>
      </c>
      <c r="T32" s="169">
        <f>Eingabe_2!F56</f>
        <v>0</v>
      </c>
      <c r="U32" s="168" t="str">
        <f>Eingabe_2!F57</f>
        <v>Richtwert</v>
      </c>
      <c r="V32" s="539"/>
      <c r="W32" s="191"/>
      <c r="AC32" s="89">
        <f t="shared" si="15"/>
        <v>0</v>
      </c>
      <c r="AD32" s="90">
        <f>IF(U32=T$4,T32,IF(OR(R32="-",S32="-"),0,R32+S32))</f>
        <v>0</v>
      </c>
      <c r="AE32" s="90"/>
      <c r="AF32" s="96"/>
    </row>
    <row r="33" spans="1:32" s="192" customFormat="1" ht="13.5" customHeight="1" x14ac:dyDescent="0.2">
      <c r="A33" s="467" t="s">
        <v>245</v>
      </c>
      <c r="B33" s="162"/>
      <c r="C33" s="126" t="s">
        <v>219</v>
      </c>
      <c r="D33" s="74">
        <f>Eingabe_2!F60</f>
        <v>0</v>
      </c>
      <c r="E33" s="74" t="s">
        <v>22</v>
      </c>
      <c r="F33" s="74">
        <f>Eingabe_2!F52</f>
        <v>0</v>
      </c>
      <c r="G33" s="126" t="s">
        <v>29</v>
      </c>
      <c r="H33" s="74"/>
      <c r="I33" s="74"/>
      <c r="J33" s="389"/>
      <c r="K33" s="165">
        <f>90967*D33^0.6109</f>
        <v>0</v>
      </c>
      <c r="L33" s="169">
        <f>Eingabe_2!F61</f>
        <v>0</v>
      </c>
      <c r="M33" s="168" t="str">
        <f>Eingabe_2!F62</f>
        <v>Richtwert</v>
      </c>
      <c r="N33" s="525">
        <f>Eingabe_2!F63</f>
        <v>1</v>
      </c>
      <c r="O33" s="168"/>
      <c r="P33" s="170">
        <f t="shared" si="11"/>
        <v>0</v>
      </c>
      <c r="Q33" s="165">
        <f t="shared" si="11"/>
        <v>0</v>
      </c>
      <c r="R33" s="170" t="str">
        <f>IF(D33&gt;0,1800,"-")</f>
        <v>-</v>
      </c>
      <c r="S33" s="165">
        <f>IF(AND(D33&gt;0,F33&gt;0),(F33+100)*1.75,0)</f>
        <v>0</v>
      </c>
      <c r="T33" s="169">
        <f>Eingabe_2!F64</f>
        <v>0</v>
      </c>
      <c r="U33" s="168" t="str">
        <f>Eingabe_2!F65</f>
        <v>Richtwert</v>
      </c>
      <c r="V33" s="539"/>
      <c r="W33" s="191"/>
      <c r="AC33" s="89">
        <f t="shared" si="15"/>
        <v>0</v>
      </c>
      <c r="AD33" s="90">
        <f>IF(U33=T$4,T33,IF(OR(R33="-",S33="-"),0,R33+S33))</f>
        <v>0</v>
      </c>
      <c r="AE33" s="90"/>
      <c r="AF33" s="96"/>
    </row>
    <row r="34" spans="1:32" s="192" customFormat="1" ht="13.5" customHeight="1" x14ac:dyDescent="0.2">
      <c r="A34" s="467" t="s">
        <v>245</v>
      </c>
      <c r="B34" s="162"/>
      <c r="C34" s="126"/>
      <c r="D34" s="74"/>
      <c r="E34" s="74"/>
      <c r="F34" s="74"/>
      <c r="G34" s="126"/>
      <c r="H34" s="74"/>
      <c r="I34" s="74"/>
      <c r="J34" s="165"/>
      <c r="K34" s="165"/>
      <c r="L34" s="193"/>
      <c r="M34" s="168">
        <f>AB34</f>
        <v>0</v>
      </c>
      <c r="N34" s="168"/>
      <c r="O34" s="168"/>
      <c r="P34" s="194">
        <f t="shared" si="11"/>
        <v>0</v>
      </c>
      <c r="Q34" s="165">
        <f t="shared" si="11"/>
        <v>0</v>
      </c>
      <c r="R34" s="170"/>
      <c r="S34" s="165"/>
      <c r="T34" s="193"/>
      <c r="U34" s="204">
        <f>AD34</f>
        <v>0</v>
      </c>
      <c r="V34" s="540"/>
      <c r="AC34" s="89"/>
      <c r="AD34" s="90"/>
      <c r="AE34" s="90"/>
      <c r="AF34" s="96"/>
    </row>
    <row r="35" spans="1:32" s="192" customFormat="1" ht="13.5" customHeight="1" x14ac:dyDescent="0.2">
      <c r="A35" s="467" t="s">
        <v>245</v>
      </c>
      <c r="B35" s="176"/>
      <c r="C35" s="177" t="s">
        <v>26</v>
      </c>
      <c r="D35" s="178"/>
      <c r="E35" s="178"/>
      <c r="F35" s="178"/>
      <c r="G35" s="195"/>
      <c r="H35" s="178"/>
      <c r="I35" s="178"/>
      <c r="J35" s="151"/>
      <c r="K35" s="196">
        <f>SUM(K27:K34)</f>
        <v>0</v>
      </c>
      <c r="L35" s="196">
        <f>SUM(L27:L34)</f>
        <v>0</v>
      </c>
      <c r="M35" s="196">
        <f>AC35</f>
        <v>0</v>
      </c>
      <c r="N35" s="196"/>
      <c r="O35" s="196"/>
      <c r="P35" s="197">
        <f>SUM(P27:P34)</f>
        <v>0</v>
      </c>
      <c r="Q35" s="198">
        <f>SUM(Q27:Q34)</f>
        <v>0</v>
      </c>
      <c r="R35" s="199">
        <f>SUM(R27:R34)</f>
        <v>0</v>
      </c>
      <c r="S35" s="196">
        <f>SUM(S27:S34)</f>
        <v>0</v>
      </c>
      <c r="T35" s="196">
        <f>SUM(T27:T34)</f>
        <v>0</v>
      </c>
      <c r="U35" s="196">
        <f>AD35</f>
        <v>0</v>
      </c>
      <c r="V35" s="540"/>
      <c r="AC35" s="490">
        <f>SUM(AC27:AC33)</f>
        <v>0</v>
      </c>
      <c r="AD35" s="94">
        <f>SUM(AD27:AD33)</f>
        <v>0</v>
      </c>
      <c r="AE35" s="94"/>
      <c r="AF35" s="96"/>
    </row>
    <row r="36" spans="1:32" s="192" customFormat="1" ht="13.5" customHeight="1" x14ac:dyDescent="0.2">
      <c r="A36" s="467" t="s">
        <v>158</v>
      </c>
      <c r="B36" s="162">
        <v>4</v>
      </c>
      <c r="C36" s="127" t="s">
        <v>167</v>
      </c>
      <c r="D36" s="74"/>
      <c r="E36" s="74"/>
      <c r="F36" s="74"/>
      <c r="G36" s="126"/>
      <c r="H36" s="74"/>
      <c r="I36" s="74"/>
      <c r="J36" s="165"/>
      <c r="K36" s="204"/>
      <c r="L36" s="204"/>
      <c r="M36" s="204"/>
      <c r="N36" s="204"/>
      <c r="O36" s="204"/>
      <c r="P36" s="187">
        <v>0.8</v>
      </c>
      <c r="Q36" s="188">
        <v>0.2</v>
      </c>
      <c r="R36" s="189" t="s">
        <v>189</v>
      </c>
      <c r="S36" s="330"/>
      <c r="T36" s="204"/>
      <c r="U36" s="204"/>
      <c r="V36" s="540"/>
      <c r="AC36" s="93"/>
      <c r="AD36" s="94"/>
      <c r="AE36" s="94"/>
      <c r="AF36" s="96"/>
    </row>
    <row r="37" spans="1:32" s="192" customFormat="1" ht="13.5" customHeight="1" x14ac:dyDescent="0.2">
      <c r="A37" s="467" t="s">
        <v>158</v>
      </c>
      <c r="B37" s="162"/>
      <c r="C37" s="126" t="s">
        <v>172</v>
      </c>
      <c r="D37" s="74">
        <f>Eingabe_2!F69</f>
        <v>0</v>
      </c>
      <c r="E37" s="74" t="s">
        <v>169</v>
      </c>
      <c r="F37" s="74" t="str">
        <f>Eingabe_2!F68</f>
        <v>RÜB</v>
      </c>
      <c r="G37" s="126" t="str">
        <f>Eingabe_2!F70</f>
        <v>innerorts, geschlossen</v>
      </c>
      <c r="I37" s="74" t="str">
        <f>Eingabe_2!F71</f>
        <v>normal</v>
      </c>
      <c r="J37" s="165">
        <f>IF(D37=0,0,VLOOKUP(AF37,C113:F130,2,FALSE)*(D37^(VLOOKUP(AF37,C113:F130,3,FALSE)))*VLOOKUP(AF37,C113:F130,4,FALSE))</f>
        <v>0</v>
      </c>
      <c r="K37" s="165">
        <f>D37*J37</f>
        <v>0</v>
      </c>
      <c r="L37" s="169">
        <f>Eingabe_2!F72</f>
        <v>0</v>
      </c>
      <c r="M37" s="168" t="str">
        <f>Eingabe_2!F73</f>
        <v>Richtwert</v>
      </c>
      <c r="N37" s="525">
        <f>Eingabe_2!F74</f>
        <v>1</v>
      </c>
      <c r="O37" s="204"/>
      <c r="P37" s="170">
        <f t="shared" ref="P37:Q39" si="18">(IF($M37=$K$4,$K37,$L37)*P$36)</f>
        <v>0</v>
      </c>
      <c r="Q37" s="165">
        <f t="shared" si="18"/>
        <v>0</v>
      </c>
      <c r="R37" s="170" t="str">
        <f>IF(D37&gt;0,1800,"-")</f>
        <v>-</v>
      </c>
      <c r="S37" s="204"/>
      <c r="T37" s="169">
        <f>Eingabe_2!F75</f>
        <v>0</v>
      </c>
      <c r="U37" s="168" t="str">
        <f>Eingabe_2!F76</f>
        <v>Richtwert</v>
      </c>
      <c r="V37" s="539"/>
      <c r="AC37" s="89">
        <f>IF(M37=K$4,K37*N37,L37*N37)</f>
        <v>0</v>
      </c>
      <c r="AD37" s="90">
        <f>IF(U37=T$4,T37,IF(OR(R37="-",S37="-"),0,R37+S37))</f>
        <v>0</v>
      </c>
      <c r="AE37" s="90"/>
      <c r="AF37" s="91" t="str">
        <f>F37&amp;G37&amp;I37</f>
        <v>RÜBinnerorts, geschlossennormal</v>
      </c>
    </row>
    <row r="38" spans="1:32" s="192" customFormat="1" ht="13.5" customHeight="1" x14ac:dyDescent="0.2">
      <c r="A38" s="467" t="s">
        <v>158</v>
      </c>
      <c r="B38" s="162"/>
      <c r="C38" s="126" t="s">
        <v>173</v>
      </c>
      <c r="D38" s="74">
        <f>Eingabe_2!F80</f>
        <v>0</v>
      </c>
      <c r="E38" s="74" t="s">
        <v>169</v>
      </c>
      <c r="F38" s="74" t="str">
        <f>Eingabe_2!F79</f>
        <v>RÜB</v>
      </c>
      <c r="G38" s="126" t="str">
        <f>Eingabe_2!F81</f>
        <v>außerorts, offen</v>
      </c>
      <c r="H38" s="74"/>
      <c r="I38" s="74" t="str">
        <f>Eingabe_2!F82</f>
        <v>normal</v>
      </c>
      <c r="J38" s="165">
        <f>IF(D38=0,0,VLOOKUP(AF38,C113:F130,2,FALSE)*(D38^(VLOOKUP(AF38,C113:F130,3,FALSE)))*VLOOKUP(AF38,C113:F130,4,FALSE))</f>
        <v>0</v>
      </c>
      <c r="K38" s="165">
        <f>D38*J38</f>
        <v>0</v>
      </c>
      <c r="L38" s="169">
        <f>Eingabe_2!F83</f>
        <v>0</v>
      </c>
      <c r="M38" s="168" t="str">
        <f>Eingabe_2!F84</f>
        <v>Richtwert</v>
      </c>
      <c r="N38" s="525">
        <f>Eingabe_2!F85</f>
        <v>1</v>
      </c>
      <c r="O38" s="204"/>
      <c r="P38" s="170">
        <f t="shared" si="18"/>
        <v>0</v>
      </c>
      <c r="Q38" s="165">
        <f t="shared" si="18"/>
        <v>0</v>
      </c>
      <c r="R38" s="170" t="str">
        <f t="shared" ref="R38:R39" si="19">IF(D38&gt;0,1800,"-")</f>
        <v>-</v>
      </c>
      <c r="S38" s="204"/>
      <c r="T38" s="169">
        <f>Eingabe_2!F86</f>
        <v>0</v>
      </c>
      <c r="U38" s="168" t="str">
        <f>Eingabe_2!F87</f>
        <v>Richtwert</v>
      </c>
      <c r="V38" s="539"/>
      <c r="AC38" s="89">
        <f t="shared" ref="AC38:AC39" si="20">IF(M38=K$4,K38*N38,L38*N38)</f>
        <v>0</v>
      </c>
      <c r="AD38" s="90">
        <f>IF(U38=T$4,T38,IF(OR(R38="-",S38="-"),0,R38+S38))</f>
        <v>0</v>
      </c>
      <c r="AE38" s="90"/>
      <c r="AF38" s="91" t="str">
        <f>F38&amp;G38&amp;I38</f>
        <v>RÜBaußerorts, offennormal</v>
      </c>
    </row>
    <row r="39" spans="1:32" s="192" customFormat="1" ht="13.5" customHeight="1" x14ac:dyDescent="0.2">
      <c r="A39" s="467" t="s">
        <v>158</v>
      </c>
      <c r="B39" s="162"/>
      <c r="C39" s="126" t="s">
        <v>174</v>
      </c>
      <c r="D39" s="74">
        <f>Eingabe_2!F91</f>
        <v>0</v>
      </c>
      <c r="E39" s="74" t="s">
        <v>169</v>
      </c>
      <c r="F39" s="74" t="str">
        <f>Eingabe_2!F90</f>
        <v>RÜB</v>
      </c>
      <c r="G39" s="126" t="str">
        <f>Eingabe_2!F92</f>
        <v>außerorts, offen</v>
      </c>
      <c r="H39" s="74"/>
      <c r="I39" s="74" t="str">
        <f>Eingabe_2!F93</f>
        <v>normal</v>
      </c>
      <c r="J39" s="165">
        <f>IF(D39=0,0,VLOOKUP(AF39,C113:F130,2,FALSE)*(D39^(VLOOKUP(AF39,C113:F130,3,FALSE)))*VLOOKUP(AF39,C113:F130,4,FALSE))</f>
        <v>0</v>
      </c>
      <c r="K39" s="165">
        <f>D39*J39</f>
        <v>0</v>
      </c>
      <c r="L39" s="169">
        <f>Eingabe_2!F94</f>
        <v>0</v>
      </c>
      <c r="M39" s="168" t="str">
        <f>Eingabe_2!F95</f>
        <v>Richtwert</v>
      </c>
      <c r="N39" s="525">
        <f>Eingabe_2!F96</f>
        <v>1</v>
      </c>
      <c r="O39" s="204"/>
      <c r="P39" s="170">
        <f t="shared" si="18"/>
        <v>0</v>
      </c>
      <c r="Q39" s="165">
        <f t="shared" si="18"/>
        <v>0</v>
      </c>
      <c r="R39" s="170" t="str">
        <f t="shared" si="19"/>
        <v>-</v>
      </c>
      <c r="S39" s="204"/>
      <c r="T39" s="169">
        <f>Eingabe_2!F97</f>
        <v>0</v>
      </c>
      <c r="U39" s="168" t="str">
        <f>Eingabe_2!F98</f>
        <v>Richtwert</v>
      </c>
      <c r="V39" s="539"/>
      <c r="AC39" s="89">
        <f t="shared" si="20"/>
        <v>0</v>
      </c>
      <c r="AD39" s="90">
        <f>IF(U39=T$4,T39,IF(OR(R39="-",S39="-"),0,R39+S39))</f>
        <v>0</v>
      </c>
      <c r="AE39" s="90"/>
      <c r="AF39" s="91" t="str">
        <f>F39&amp;G39&amp;I39</f>
        <v>RÜBaußerorts, offennormal</v>
      </c>
    </row>
    <row r="40" spans="1:32" s="192" customFormat="1" ht="13.5" customHeight="1" x14ac:dyDescent="0.2">
      <c r="A40" s="467" t="s">
        <v>158</v>
      </c>
      <c r="B40" s="162"/>
      <c r="C40" s="127"/>
      <c r="D40" s="74"/>
      <c r="E40" s="74"/>
      <c r="F40" s="74"/>
      <c r="G40" s="126"/>
      <c r="H40" s="74"/>
      <c r="I40" s="74"/>
      <c r="J40" s="165"/>
      <c r="K40" s="204"/>
      <c r="L40" s="204"/>
      <c r="M40" s="204"/>
      <c r="N40" s="204"/>
      <c r="O40" s="204"/>
      <c r="P40" s="170"/>
      <c r="Q40" s="165"/>
      <c r="R40" s="324"/>
      <c r="S40" s="204"/>
      <c r="T40" s="204"/>
      <c r="U40" s="204"/>
      <c r="V40" s="540"/>
      <c r="AC40" s="89"/>
      <c r="AD40" s="90"/>
      <c r="AE40" s="90"/>
      <c r="AF40" s="91"/>
    </row>
    <row r="41" spans="1:32" s="192" customFormat="1" ht="13.5" customHeight="1" x14ac:dyDescent="0.2">
      <c r="A41" s="467" t="s">
        <v>158</v>
      </c>
      <c r="B41" s="176"/>
      <c r="C41" s="177" t="s">
        <v>26</v>
      </c>
      <c r="D41" s="178"/>
      <c r="E41" s="178"/>
      <c r="F41" s="178"/>
      <c r="G41" s="195"/>
      <c r="H41" s="178"/>
      <c r="I41" s="178"/>
      <c r="J41" s="151"/>
      <c r="K41" s="196">
        <f>SUM(K37:K40)</f>
        <v>0</v>
      </c>
      <c r="L41" s="196">
        <f>SUM(L37:L40)</f>
        <v>0</v>
      </c>
      <c r="M41" s="196">
        <f>AC41</f>
        <v>0</v>
      </c>
      <c r="N41" s="204"/>
      <c r="O41" s="196"/>
      <c r="P41" s="197">
        <f>SUM(P37:P40)</f>
        <v>0</v>
      </c>
      <c r="Q41" s="198">
        <f>SUM(Q37:Q40)</f>
        <v>0</v>
      </c>
      <c r="R41" s="199">
        <f>SUM(R37:R40)</f>
        <v>0</v>
      </c>
      <c r="S41" s="196">
        <f>SUM(S37:S40)</f>
        <v>0</v>
      </c>
      <c r="T41" s="196">
        <f>SUM(T37:T40)</f>
        <v>0</v>
      </c>
      <c r="U41" s="485">
        <f>AD41</f>
        <v>0</v>
      </c>
      <c r="V41" s="540"/>
      <c r="AC41" s="490">
        <f>SUM(AC37:AC40)</f>
        <v>0</v>
      </c>
      <c r="AD41" s="94">
        <f>SUM(AD37:AD39)</f>
        <v>0</v>
      </c>
      <c r="AE41" s="94"/>
      <c r="AF41" s="91"/>
    </row>
    <row r="42" spans="1:32" s="192" customFormat="1" ht="13.5" customHeight="1" thickBot="1" x14ac:dyDescent="0.25">
      <c r="A42" s="467" t="s">
        <v>158</v>
      </c>
      <c r="B42" s="162">
        <v>5</v>
      </c>
      <c r="C42" s="127" t="s">
        <v>28</v>
      </c>
      <c r="D42" s="74"/>
      <c r="E42" s="74"/>
      <c r="F42" s="74"/>
      <c r="G42" s="126"/>
      <c r="H42" s="200" t="str">
        <f>IF(G43=C102,"Ausbaugröße externe KA","")</f>
        <v/>
      </c>
      <c r="I42" s="74"/>
      <c r="J42" s="165"/>
      <c r="K42" s="165"/>
      <c r="L42" s="186"/>
      <c r="M42" s="165"/>
      <c r="N42" s="201"/>
      <c r="O42" s="165"/>
      <c r="P42" s="370">
        <v>0.7</v>
      </c>
      <c r="Q42" s="188">
        <v>0.3</v>
      </c>
      <c r="R42" s="170"/>
      <c r="S42" s="165"/>
      <c r="T42" s="186"/>
      <c r="U42" s="165"/>
      <c r="V42" s="542"/>
      <c r="AC42" s="95"/>
      <c r="AD42" s="90"/>
      <c r="AE42" s="90"/>
      <c r="AF42" s="96"/>
    </row>
    <row r="43" spans="1:32" s="192" customFormat="1" ht="13.5" customHeight="1" thickBot="1" x14ac:dyDescent="0.25">
      <c r="A43" s="467" t="s">
        <v>158</v>
      </c>
      <c r="B43" s="162"/>
      <c r="C43" s="126" t="s">
        <v>191</v>
      </c>
      <c r="D43" s="172">
        <f>Eingabe_2!F101</f>
        <v>0</v>
      </c>
      <c r="E43" s="74" t="s">
        <v>29</v>
      </c>
      <c r="F43" s="202"/>
      <c r="G43" s="276" t="str">
        <f>Eingabe_2!F102</f>
        <v>eigene KA</v>
      </c>
      <c r="H43" s="165">
        <f>Eingabe_2!F103</f>
        <v>0</v>
      </c>
      <c r="I43" s="74" t="str">
        <f>IF(G43=C102,"EW","")</f>
        <v/>
      </c>
      <c r="J43" s="596">
        <f t="shared" ref="J43:J44" si="21">IF(G43=C$102,11183*H43^-0.261*1.45,IF(D43&gt;0,11183*D43^-0.261*1.45,0))</f>
        <v>0</v>
      </c>
      <c r="K43" s="165">
        <f>J43*D43</f>
        <v>0</v>
      </c>
      <c r="L43" s="169">
        <f>Eingabe_2!F104</f>
        <v>0</v>
      </c>
      <c r="M43" s="168" t="str">
        <f>Eingabe_2!F105</f>
        <v>Richtwert</v>
      </c>
      <c r="N43" s="525">
        <f>Eingabe_2!F106</f>
        <v>1</v>
      </c>
      <c r="O43" s="168"/>
      <c r="P43" s="170">
        <f t="shared" ref="P43:Q48" si="22">(IF($M43=$K$4,$K43,$L43)*P$42)</f>
        <v>0</v>
      </c>
      <c r="Q43" s="165">
        <f t="shared" si="22"/>
        <v>0</v>
      </c>
      <c r="R43" s="608">
        <f>IF(G43=C$102,IF(H43&gt;10000,1.4*39.703*H43^-0.079,1.4*491*H43^-0.353),IF(D43&gt;0,IF(D43&gt;10000,1.4*39.703*D43^-0.079,1.4*491*D43^-0.353),0))</f>
        <v>0</v>
      </c>
      <c r="S43" s="165">
        <f>R43*D43</f>
        <v>0</v>
      </c>
      <c r="T43" s="169">
        <f>Eingabe_2!F107</f>
        <v>0</v>
      </c>
      <c r="U43" s="168" t="str">
        <f>Eingabe_2!F108</f>
        <v>Richtwert</v>
      </c>
      <c r="V43" s="539"/>
      <c r="AC43" s="89">
        <f>IF(M43=K$4,K43*N43,L43*N43)</f>
        <v>0</v>
      </c>
      <c r="AD43" s="90">
        <f t="shared" ref="AD43:AD45" si="23">IF(U43=$S$4,S43,T43)</f>
        <v>0</v>
      </c>
      <c r="AE43" s="90"/>
      <c r="AF43" s="96"/>
    </row>
    <row r="44" spans="1:32" s="192" customFormat="1" ht="13.5" customHeight="1" thickBot="1" x14ac:dyDescent="0.25">
      <c r="A44" s="467" t="s">
        <v>63</v>
      </c>
      <c r="B44" s="162"/>
      <c r="C44" s="126" t="s">
        <v>192</v>
      </c>
      <c r="D44" s="172">
        <f>Eingabe_2!F111</f>
        <v>0</v>
      </c>
      <c r="E44" s="74" t="s">
        <v>29</v>
      </c>
      <c r="F44" s="276"/>
      <c r="G44" s="276" t="str">
        <f>Eingabe_2!F112</f>
        <v>eigene KA</v>
      </c>
      <c r="H44" s="165">
        <f>Eingabe_2!F113</f>
        <v>0</v>
      </c>
      <c r="I44" s="74" t="str">
        <f>IF(G44=C102,"EW","")</f>
        <v/>
      </c>
      <c r="J44" s="596">
        <f t="shared" si="21"/>
        <v>0</v>
      </c>
      <c r="K44" s="165">
        <f>J44*D44</f>
        <v>0</v>
      </c>
      <c r="L44" s="169">
        <f>Eingabe_2!F114</f>
        <v>0</v>
      </c>
      <c r="M44" s="168" t="str">
        <f>Eingabe_2!F115</f>
        <v>Richtwert</v>
      </c>
      <c r="N44" s="525">
        <f>Eingabe_2!F116</f>
        <v>1</v>
      </c>
      <c r="O44" s="168"/>
      <c r="P44" s="170">
        <f t="shared" si="22"/>
        <v>0</v>
      </c>
      <c r="Q44" s="165">
        <f t="shared" si="22"/>
        <v>0</v>
      </c>
      <c r="R44" s="608">
        <f t="shared" ref="R44:R45" si="24">IF(G44=C$102,IF(H44&gt;10000,1.4*39.703*H44^-0.079,1.4*491*H44^-0.353),IF(D44&gt;0,IF(D44&gt;10000,1.4*39.703*D44^-0.079,1.4*491*D44^-0.353),0))</f>
        <v>0</v>
      </c>
      <c r="S44" s="165">
        <f>R44*D44</f>
        <v>0</v>
      </c>
      <c r="T44" s="169">
        <f>Eingabe_2!F117</f>
        <v>0</v>
      </c>
      <c r="U44" s="168" t="str">
        <f>Eingabe_2!F118</f>
        <v>Richtwert</v>
      </c>
      <c r="V44" s="539"/>
      <c r="AC44" s="89">
        <f t="shared" ref="AC44:AC48" si="25">IF(M44=K$4,K44*N44,L44*N44)</f>
        <v>0</v>
      </c>
      <c r="AD44" s="90">
        <f t="shared" si="23"/>
        <v>0</v>
      </c>
      <c r="AE44" s="90"/>
      <c r="AF44" s="96"/>
    </row>
    <row r="45" spans="1:32" s="192" customFormat="1" ht="13.5" customHeight="1" thickBot="1" x14ac:dyDescent="0.25">
      <c r="A45" s="467" t="s">
        <v>63</v>
      </c>
      <c r="B45" s="162"/>
      <c r="C45" s="126" t="s">
        <v>193</v>
      </c>
      <c r="D45" s="172">
        <f>Eingabe_2!F121</f>
        <v>0</v>
      </c>
      <c r="E45" s="74" t="s">
        <v>29</v>
      </c>
      <c r="F45" s="276"/>
      <c r="G45" s="276" t="str">
        <f>Eingabe_2!F122</f>
        <v>eigene KA</v>
      </c>
      <c r="H45" s="165">
        <f>Eingabe_2!F123</f>
        <v>0</v>
      </c>
      <c r="I45" s="74" t="str">
        <f>IF(G45=C102,"EW","")</f>
        <v/>
      </c>
      <c r="J45" s="596">
        <f>IF(G45=C$102,11183*H45^-0.261*1.45,IF(D45&gt;0,11183*D45^-0.261*1.45,0))</f>
        <v>0</v>
      </c>
      <c r="K45" s="165">
        <f>J45*D45</f>
        <v>0</v>
      </c>
      <c r="L45" s="169">
        <f>Eingabe_2!F124</f>
        <v>0</v>
      </c>
      <c r="M45" s="168" t="str">
        <f>Eingabe_2!F125</f>
        <v>Richtwert</v>
      </c>
      <c r="N45" s="525">
        <f>Eingabe_2!F126</f>
        <v>1</v>
      </c>
      <c r="O45" s="168"/>
      <c r="P45" s="170">
        <f t="shared" si="22"/>
        <v>0</v>
      </c>
      <c r="Q45" s="165">
        <f t="shared" si="22"/>
        <v>0</v>
      </c>
      <c r="R45" s="608">
        <f t="shared" si="24"/>
        <v>0</v>
      </c>
      <c r="S45" s="165">
        <f>R45*D45</f>
        <v>0</v>
      </c>
      <c r="T45" s="169">
        <f>Eingabe_2!F127</f>
        <v>0</v>
      </c>
      <c r="U45" s="168" t="str">
        <f>Eingabe_2!F128</f>
        <v>Richtwert</v>
      </c>
      <c r="V45" s="539"/>
      <c r="AC45" s="89">
        <f t="shared" si="25"/>
        <v>0</v>
      </c>
      <c r="AD45" s="90">
        <f t="shared" si="23"/>
        <v>0</v>
      </c>
      <c r="AE45" s="90"/>
      <c r="AF45" s="96"/>
    </row>
    <row r="46" spans="1:32" s="192" customFormat="1" ht="13.5" customHeight="1" x14ac:dyDescent="0.2">
      <c r="A46" s="467" t="s">
        <v>63</v>
      </c>
      <c r="B46" s="162"/>
      <c r="C46" s="420" t="s">
        <v>230</v>
      </c>
      <c r="D46" s="174">
        <f>Eingabe_2!F131</f>
        <v>0</v>
      </c>
      <c r="E46" s="74" t="s">
        <v>29</v>
      </c>
      <c r="F46" s="276"/>
      <c r="G46" s="276">
        <f>Eingabe_2!F132</f>
        <v>0</v>
      </c>
      <c r="H46" s="168" t="s">
        <v>128</v>
      </c>
      <c r="I46" s="74"/>
      <c r="J46" s="596">
        <f>IF(D46&gt;0,2802.7*D46^-0.244*1.48,0)</f>
        <v>0</v>
      </c>
      <c r="K46" s="165">
        <f>D46*J46*G46</f>
        <v>0</v>
      </c>
      <c r="L46" s="340">
        <f>Eingabe_2!F133*G46</f>
        <v>0</v>
      </c>
      <c r="M46" s="168" t="str">
        <f>Eingabe_2!F134</f>
        <v>Richtwert</v>
      </c>
      <c r="N46" s="525">
        <f>Eingabe_2!F135</f>
        <v>1</v>
      </c>
      <c r="O46" s="168"/>
      <c r="P46" s="170">
        <f t="shared" si="22"/>
        <v>0</v>
      </c>
      <c r="Q46" s="165">
        <f t="shared" si="22"/>
        <v>0</v>
      </c>
      <c r="R46" s="170">
        <f>IF(D46&gt;0,D46*186.89*D46^(-0.047),0)</f>
        <v>0</v>
      </c>
      <c r="S46" s="165">
        <f>R46*G46</f>
        <v>0</v>
      </c>
      <c r="T46" s="340">
        <f>Eingabe_2!F136*G46</f>
        <v>0</v>
      </c>
      <c r="U46" s="168" t="str">
        <f>Eingabe_2!F137</f>
        <v>Richtwert</v>
      </c>
      <c r="V46" s="539" t="str">
        <f>Eingabe_2!F138</f>
        <v>Dauerhaft</v>
      </c>
      <c r="AC46" s="89">
        <f t="shared" si="25"/>
        <v>0</v>
      </c>
      <c r="AD46" s="578">
        <f>IF(V46="Dauerhaft",IF((U46=$S$4),S46,T46),0)</f>
        <v>0</v>
      </c>
      <c r="AE46" s="578">
        <f>IF(V46="15 Jahre",IF((U46=$S$4),S46,T46),0)</f>
        <v>0</v>
      </c>
      <c r="AF46" s="96"/>
    </row>
    <row r="47" spans="1:32" s="192" customFormat="1" ht="13.5" customHeight="1" x14ac:dyDescent="0.2">
      <c r="A47" s="467" t="s">
        <v>63</v>
      </c>
      <c r="B47" s="162"/>
      <c r="C47" s="420" t="s">
        <v>231</v>
      </c>
      <c r="D47" s="174">
        <f>Eingabe_2!F140</f>
        <v>0</v>
      </c>
      <c r="E47" s="74" t="s">
        <v>29</v>
      </c>
      <c r="F47" s="276"/>
      <c r="G47" s="276">
        <f>Eingabe_2!F141</f>
        <v>0</v>
      </c>
      <c r="H47" s="168" t="s">
        <v>128</v>
      </c>
      <c r="I47" s="74"/>
      <c r="J47" s="596">
        <f t="shared" ref="J47:J48" si="26">IF(D47&gt;0,2802.7*D47^-0.244*1.48,0)</f>
        <v>0</v>
      </c>
      <c r="K47" s="165">
        <f>D47*J47*G47</f>
        <v>0</v>
      </c>
      <c r="L47" s="340">
        <f>Eingabe_2!F142*G47</f>
        <v>0</v>
      </c>
      <c r="M47" s="168" t="str">
        <f>Eingabe_2!F143</f>
        <v>Richtwert</v>
      </c>
      <c r="N47" s="525">
        <f>Eingabe_2!F144</f>
        <v>1</v>
      </c>
      <c r="O47" s="168"/>
      <c r="P47" s="170">
        <f t="shared" si="22"/>
        <v>0</v>
      </c>
      <c r="Q47" s="165">
        <f t="shared" si="22"/>
        <v>0</v>
      </c>
      <c r="R47" s="170">
        <f t="shared" ref="R47:R48" si="27">IF(D47&gt;0,D47*186.89*D47^(-0.047),0)</f>
        <v>0</v>
      </c>
      <c r="S47" s="165">
        <f>R47*G47</f>
        <v>0</v>
      </c>
      <c r="T47" s="340">
        <f>Eingabe_2!F145*G47</f>
        <v>0</v>
      </c>
      <c r="U47" s="168" t="str">
        <f>Eingabe_2!F146</f>
        <v>Richtwert</v>
      </c>
      <c r="V47" s="539" t="str">
        <f>Eingabe_2!F147</f>
        <v>Dauerhaft</v>
      </c>
      <c r="AC47" s="89">
        <f t="shared" si="25"/>
        <v>0</v>
      </c>
      <c r="AD47" s="578">
        <f t="shared" ref="AD47:AD48" si="28">IF(V47="Dauerhaft",IF((U47=$S$4),S47,T47),0)</f>
        <v>0</v>
      </c>
      <c r="AE47" s="578">
        <f t="shared" ref="AE47:AE48" si="29">IF(V47="15 Jahre",IF((U47=$S$4),S47,T47),0)</f>
        <v>0</v>
      </c>
      <c r="AF47" s="96"/>
    </row>
    <row r="48" spans="1:32" s="192" customFormat="1" ht="13.5" customHeight="1" x14ac:dyDescent="0.2">
      <c r="A48" s="467" t="s">
        <v>63</v>
      </c>
      <c r="B48" s="162"/>
      <c r="C48" s="420" t="s">
        <v>232</v>
      </c>
      <c r="D48" s="174">
        <f>Eingabe_2!F149</f>
        <v>0</v>
      </c>
      <c r="E48" s="74" t="s">
        <v>29</v>
      </c>
      <c r="F48" s="74"/>
      <c r="G48" s="276">
        <f>Eingabe_2!F150</f>
        <v>0</v>
      </c>
      <c r="H48" s="168" t="s">
        <v>128</v>
      </c>
      <c r="I48" s="74"/>
      <c r="J48" s="596">
        <f t="shared" si="26"/>
        <v>0</v>
      </c>
      <c r="K48" s="165">
        <f>D48*J48*G48</f>
        <v>0</v>
      </c>
      <c r="L48" s="175">
        <f>Eingabe_2!F151*G48</f>
        <v>0</v>
      </c>
      <c r="M48" s="168" t="str">
        <f>Eingabe_2!F152</f>
        <v>Richtwert</v>
      </c>
      <c r="N48" s="525">
        <f>Eingabe_2!F153</f>
        <v>1</v>
      </c>
      <c r="O48" s="168"/>
      <c r="P48" s="194">
        <f t="shared" si="22"/>
        <v>0</v>
      </c>
      <c r="Q48" s="165">
        <f t="shared" si="22"/>
        <v>0</v>
      </c>
      <c r="R48" s="170">
        <f t="shared" si="27"/>
        <v>0</v>
      </c>
      <c r="S48" s="165">
        <f>R48*G48</f>
        <v>0</v>
      </c>
      <c r="T48" s="175">
        <f>Eingabe_2!F154*G48</f>
        <v>0</v>
      </c>
      <c r="U48" s="168" t="str">
        <f>Eingabe_2!F155</f>
        <v>Richtwert</v>
      </c>
      <c r="V48" s="539" t="str">
        <f>Eingabe_2!F156</f>
        <v>Dauerhaft</v>
      </c>
      <c r="AC48" s="89">
        <f t="shared" si="25"/>
        <v>0</v>
      </c>
      <c r="AD48" s="578">
        <f t="shared" si="28"/>
        <v>0</v>
      </c>
      <c r="AE48" s="578">
        <f t="shared" si="29"/>
        <v>0</v>
      </c>
      <c r="AF48" s="96"/>
    </row>
    <row r="49" spans="1:32" s="192" customFormat="1" ht="13.5" customHeight="1" x14ac:dyDescent="0.2">
      <c r="A49" s="467" t="s">
        <v>63</v>
      </c>
      <c r="B49" s="162"/>
      <c r="C49" s="127" t="s">
        <v>265</v>
      </c>
      <c r="D49" s="74"/>
      <c r="E49" s="74"/>
      <c r="F49" s="74"/>
      <c r="G49" s="126"/>
      <c r="H49" s="74"/>
      <c r="I49" s="74"/>
      <c r="J49" s="165"/>
      <c r="K49" s="477">
        <f>SUM(K43:K48)</f>
        <v>0</v>
      </c>
      <c r="L49" s="478">
        <f>SUM(L43:L48)</f>
        <v>0</v>
      </c>
      <c r="M49" s="477">
        <f>AC49</f>
        <v>0</v>
      </c>
      <c r="N49" s="204"/>
      <c r="O49" s="204"/>
      <c r="P49" s="480">
        <f>SUM(P43:P48)</f>
        <v>0</v>
      </c>
      <c r="Q49" s="555">
        <f>SUM(Q43:Q48)</f>
        <v>0</v>
      </c>
      <c r="R49" s="170"/>
      <c r="S49" s="477">
        <f>SUM(S43:S45)+SUMIF(V46:V48,"Dauerhaft",S46:S48)</f>
        <v>0</v>
      </c>
      <c r="T49" s="478">
        <f>SUM(T43:T48)</f>
        <v>0</v>
      </c>
      <c r="U49" s="477">
        <f>AD49</f>
        <v>0</v>
      </c>
      <c r="V49" s="540"/>
      <c r="AC49" s="93">
        <f>SUM(AC43:AC48)</f>
        <v>0</v>
      </c>
      <c r="AD49" s="94">
        <f>SUM(AD43:AD48)</f>
        <v>0</v>
      </c>
      <c r="AE49" s="94"/>
      <c r="AF49" s="96"/>
    </row>
    <row r="50" spans="1:32" s="562" customFormat="1" ht="13.5" customHeight="1" x14ac:dyDescent="0.2">
      <c r="A50" s="556"/>
      <c r="B50" s="557"/>
      <c r="C50" s="558" t="s">
        <v>266</v>
      </c>
      <c r="D50" s="536"/>
      <c r="E50" s="536"/>
      <c r="F50" s="536"/>
      <c r="G50" s="559"/>
      <c r="H50" s="536"/>
      <c r="I50" s="536"/>
      <c r="J50" s="544"/>
      <c r="K50" s="560"/>
      <c r="L50" s="560"/>
      <c r="M50" s="560"/>
      <c r="N50" s="560"/>
      <c r="O50" s="560"/>
      <c r="P50" s="561"/>
      <c r="Q50" s="544"/>
      <c r="R50" s="561"/>
      <c r="S50" s="560">
        <f>SUMIF(V46:V48,"15 Jahre",S46:S48)</f>
        <v>0</v>
      </c>
      <c r="T50" s="560"/>
      <c r="U50" s="560">
        <f>AE50</f>
        <v>0</v>
      </c>
      <c r="V50" s="540"/>
      <c r="AC50" s="583"/>
      <c r="AD50" s="563"/>
      <c r="AE50" s="563">
        <f>SUM(AE46:AE48)</f>
        <v>0</v>
      </c>
      <c r="AF50" s="584"/>
    </row>
    <row r="51" spans="1:32" s="192" customFormat="1" ht="13.5" customHeight="1" x14ac:dyDescent="0.2">
      <c r="A51" s="467"/>
      <c r="B51" s="152">
        <v>6</v>
      </c>
      <c r="C51" s="185" t="s">
        <v>251</v>
      </c>
      <c r="D51" s="153"/>
      <c r="E51" s="153"/>
      <c r="F51" s="153"/>
      <c r="G51" s="155"/>
      <c r="H51" s="153"/>
      <c r="I51" s="153"/>
      <c r="J51" s="201"/>
      <c r="K51" s="375"/>
      <c r="L51" s="376"/>
      <c r="M51" s="375"/>
      <c r="N51" s="375"/>
      <c r="O51" s="377"/>
      <c r="P51" s="158"/>
      <c r="Q51" s="159"/>
      <c r="R51" s="158"/>
      <c r="S51" s="375"/>
      <c r="T51" s="376"/>
      <c r="U51" s="375"/>
      <c r="V51" s="540"/>
      <c r="AC51" s="93"/>
      <c r="AD51" s="94"/>
      <c r="AE51" s="94"/>
      <c r="AF51" s="96"/>
    </row>
    <row r="52" spans="1:32" s="192" customFormat="1" ht="13.5" customHeight="1" x14ac:dyDescent="0.2">
      <c r="A52" s="467"/>
      <c r="B52" s="483"/>
      <c r="C52" s="420" t="s">
        <v>248</v>
      </c>
      <c r="D52" s="464"/>
      <c r="E52" s="464"/>
      <c r="F52" s="464"/>
      <c r="G52" s="420"/>
      <c r="H52" s="464"/>
      <c r="I52" s="464"/>
      <c r="J52" s="165"/>
      <c r="K52" s="165"/>
      <c r="L52" s="169">
        <f>Eingabe_2!F159</f>
        <v>0</v>
      </c>
      <c r="M52" s="165"/>
      <c r="N52" s="165"/>
      <c r="O52" s="173"/>
      <c r="P52" s="170"/>
      <c r="Q52" s="173"/>
      <c r="R52" s="170"/>
      <c r="S52" s="165"/>
      <c r="T52" s="186"/>
      <c r="U52" s="165"/>
      <c r="V52" s="542"/>
      <c r="AC52" s="89">
        <f t="shared" ref="AC52:AC54" si="30">IF(M52=K$4,K52,L52)</f>
        <v>0</v>
      </c>
      <c r="AD52" s="90">
        <f t="shared" ref="AD52:AD54" si="31">IF(U52=$S$4,S52,T52)</f>
        <v>0</v>
      </c>
      <c r="AE52" s="90"/>
      <c r="AF52" s="96"/>
    </row>
    <row r="53" spans="1:32" s="192" customFormat="1" ht="13.5" customHeight="1" x14ac:dyDescent="0.2">
      <c r="A53" s="467"/>
      <c r="B53" s="483"/>
      <c r="C53" s="420" t="s">
        <v>249</v>
      </c>
      <c r="D53" s="464"/>
      <c r="E53" s="464"/>
      <c r="F53" s="464"/>
      <c r="G53" s="420"/>
      <c r="H53" s="464"/>
      <c r="I53" s="464"/>
      <c r="J53" s="165"/>
      <c r="K53" s="165"/>
      <c r="L53" s="169">
        <f>Eingabe_2!F160</f>
        <v>0</v>
      </c>
      <c r="M53" s="165"/>
      <c r="N53" s="165"/>
      <c r="O53" s="173"/>
      <c r="P53" s="170"/>
      <c r="Q53" s="173"/>
      <c r="R53" s="170"/>
      <c r="S53" s="165"/>
      <c r="T53" s="186"/>
      <c r="U53" s="165"/>
      <c r="V53" s="542"/>
      <c r="AC53" s="89">
        <f t="shared" si="30"/>
        <v>0</v>
      </c>
      <c r="AD53" s="90">
        <f t="shared" si="31"/>
        <v>0</v>
      </c>
      <c r="AE53" s="90"/>
      <c r="AF53" s="96"/>
    </row>
    <row r="54" spans="1:32" s="192" customFormat="1" ht="13.5" customHeight="1" x14ac:dyDescent="0.2">
      <c r="A54" s="467"/>
      <c r="B54" s="483"/>
      <c r="C54" s="420" t="s">
        <v>250</v>
      </c>
      <c r="D54" s="464"/>
      <c r="E54" s="464"/>
      <c r="F54" s="464"/>
      <c r="G54" s="420"/>
      <c r="H54" s="464"/>
      <c r="I54" s="464"/>
      <c r="J54" s="165"/>
      <c r="K54" s="165"/>
      <c r="L54" s="169">
        <f>Eingabe_2!F161</f>
        <v>0</v>
      </c>
      <c r="M54" s="165"/>
      <c r="N54" s="165"/>
      <c r="O54" s="173"/>
      <c r="P54" s="170"/>
      <c r="Q54" s="173"/>
      <c r="R54" s="170"/>
      <c r="S54" s="165"/>
      <c r="T54" s="186"/>
      <c r="U54" s="165"/>
      <c r="V54" s="542"/>
      <c r="AC54" s="89">
        <f t="shared" si="30"/>
        <v>0</v>
      </c>
      <c r="AD54" s="90">
        <f t="shared" si="31"/>
        <v>0</v>
      </c>
      <c r="AE54" s="90"/>
      <c r="AF54" s="96"/>
    </row>
    <row r="55" spans="1:32" s="192" customFormat="1" ht="13.5" customHeight="1" thickBot="1" x14ac:dyDescent="0.25">
      <c r="A55" s="467"/>
      <c r="B55" s="176"/>
      <c r="C55" s="177" t="s">
        <v>26</v>
      </c>
      <c r="D55" s="178"/>
      <c r="E55" s="178"/>
      <c r="F55" s="178"/>
      <c r="G55" s="195"/>
      <c r="H55" s="178"/>
      <c r="I55" s="178"/>
      <c r="J55" s="151"/>
      <c r="K55" s="196">
        <f>SUM(K52:K54)</f>
        <v>0</v>
      </c>
      <c r="L55" s="488">
        <f>SUM(L52:L54)</f>
        <v>0</v>
      </c>
      <c r="M55" s="485">
        <f>AC55</f>
        <v>0</v>
      </c>
      <c r="N55" s="182"/>
      <c r="O55" s="182"/>
      <c r="P55" s="197">
        <f>SUM(P48:P54)</f>
        <v>0</v>
      </c>
      <c r="Q55" s="486">
        <f>SUM(Q48:Q54)</f>
        <v>0</v>
      </c>
      <c r="R55" s="150"/>
      <c r="S55" s="487"/>
      <c r="T55" s="488"/>
      <c r="U55" s="533"/>
      <c r="V55" s="543"/>
      <c r="AC55" s="97">
        <f>SUM(AC52:AC54)</f>
        <v>0</v>
      </c>
      <c r="AD55" s="98">
        <f>SUM(AD52:AD54)</f>
        <v>0</v>
      </c>
      <c r="AE55" s="98"/>
      <c r="AF55" s="99"/>
    </row>
    <row r="56" spans="1:32" ht="13.5" customHeight="1" x14ac:dyDescent="0.2">
      <c r="A56" s="467" t="s">
        <v>63</v>
      </c>
      <c r="B56" s="162"/>
      <c r="J56" s="165"/>
      <c r="K56" s="165"/>
      <c r="L56" s="326"/>
      <c r="M56" s="165"/>
      <c r="N56" s="165"/>
      <c r="O56" s="165"/>
      <c r="P56" s="170"/>
      <c r="Q56" s="173"/>
      <c r="R56" s="165"/>
      <c r="S56" s="165"/>
      <c r="T56" s="186"/>
      <c r="U56" s="165"/>
      <c r="V56" s="554"/>
    </row>
    <row r="57" spans="1:32" ht="13.5" customHeight="1" x14ac:dyDescent="0.2">
      <c r="A57" s="467" t="s">
        <v>63</v>
      </c>
      <c r="B57" s="162"/>
      <c r="C57" s="203" t="s">
        <v>30</v>
      </c>
      <c r="D57" s="174"/>
      <c r="G57" s="127"/>
      <c r="J57" s="165"/>
      <c r="K57" s="204">
        <f>K11+K25+K35+K41+K49</f>
        <v>0</v>
      </c>
      <c r="L57" s="205">
        <f>L11+L25+L35+L41+L49+L55</f>
        <v>0</v>
      </c>
      <c r="M57" s="204">
        <f>M11+M25+M35+M41+M49+M55</f>
        <v>0</v>
      </c>
      <c r="N57" s="204"/>
      <c r="O57" s="204"/>
      <c r="P57" s="206">
        <f>P11+P35+P41+P49</f>
        <v>0</v>
      </c>
      <c r="Q57" s="207">
        <f>Q11+Q35+Q41+Q49</f>
        <v>0</v>
      </c>
      <c r="R57" s="165"/>
      <c r="S57" s="204">
        <f>S11+S25+R35+S35+R41+S49</f>
        <v>0</v>
      </c>
      <c r="T57" s="205">
        <f>T11+T25+T35+T41+T49</f>
        <v>0</v>
      </c>
      <c r="U57" s="204">
        <f>U11+U25+U35+U41+U49</f>
        <v>0</v>
      </c>
      <c r="V57" s="540"/>
    </row>
    <row r="58" spans="1:32" ht="13.5" customHeight="1" x14ac:dyDescent="0.2">
      <c r="A58" s="467"/>
      <c r="B58" s="162"/>
      <c r="C58" s="564" t="s">
        <v>267</v>
      </c>
      <c r="D58" s="174"/>
      <c r="G58" s="127"/>
      <c r="J58" s="165"/>
      <c r="K58" s="204"/>
      <c r="L58" s="213"/>
      <c r="M58" s="204"/>
      <c r="N58" s="204"/>
      <c r="O58" s="204"/>
      <c r="P58" s="206"/>
      <c r="Q58" s="207"/>
      <c r="R58" s="165"/>
      <c r="S58" s="204"/>
      <c r="T58" s="213"/>
      <c r="U58" s="560">
        <f>U50</f>
        <v>0</v>
      </c>
      <c r="V58" s="540"/>
    </row>
    <row r="59" spans="1:32" ht="13.5" customHeight="1" x14ac:dyDescent="0.2">
      <c r="B59" s="176"/>
      <c r="C59" s="208"/>
      <c r="D59" s="209"/>
      <c r="E59" s="178"/>
      <c r="F59" s="178"/>
      <c r="G59" s="177"/>
      <c r="H59" s="178"/>
      <c r="I59" s="178"/>
      <c r="J59" s="151"/>
      <c r="K59" s="182"/>
      <c r="L59" s="210"/>
      <c r="M59" s="182"/>
      <c r="N59" s="182"/>
      <c r="O59" s="182"/>
      <c r="P59" s="211"/>
      <c r="Q59" s="212"/>
      <c r="R59" s="151"/>
      <c r="S59" s="151"/>
      <c r="T59" s="210"/>
      <c r="U59" s="182"/>
      <c r="V59" s="543"/>
    </row>
    <row r="60" spans="1:32" ht="13.5" customHeight="1" x14ac:dyDescent="0.2">
      <c r="C60" s="203"/>
      <c r="D60" s="174"/>
      <c r="G60" s="127"/>
      <c r="J60" s="165"/>
      <c r="K60" s="204"/>
      <c r="L60" s="213"/>
      <c r="M60" s="204"/>
      <c r="N60" s="204"/>
      <c r="O60" s="204"/>
      <c r="P60" s="204"/>
      <c r="Q60" s="214"/>
      <c r="R60" s="165"/>
      <c r="S60" s="165"/>
      <c r="T60" s="165"/>
      <c r="U60" s="165"/>
      <c r="V60" s="544"/>
    </row>
    <row r="61" spans="1:32" ht="13.5" customHeight="1" x14ac:dyDescent="0.2">
      <c r="C61" s="203"/>
      <c r="D61" s="174"/>
      <c r="G61" s="127"/>
      <c r="J61" s="165"/>
      <c r="K61" s="204"/>
      <c r="L61" s="213"/>
      <c r="M61" s="204"/>
      <c r="N61" s="204"/>
      <c r="O61" s="204"/>
      <c r="P61" s="204"/>
      <c r="Q61" s="215"/>
      <c r="R61" s="165"/>
      <c r="S61" s="165"/>
      <c r="T61" s="165"/>
      <c r="U61" s="165"/>
      <c r="V61" s="544"/>
    </row>
    <row r="62" spans="1:32" ht="13.5" customHeight="1" thickBot="1" x14ac:dyDescent="0.25">
      <c r="C62" s="125" t="s">
        <v>31</v>
      </c>
      <c r="D62" s="216">
        <f>Eingabe_2!F166</f>
        <v>3</v>
      </c>
      <c r="E62" s="217" t="s">
        <v>10</v>
      </c>
      <c r="F62" s="218" t="s">
        <v>32</v>
      </c>
      <c r="H62" s="219"/>
      <c r="I62" s="219"/>
      <c r="K62" s="200"/>
      <c r="L62" s="220"/>
      <c r="M62" s="200"/>
      <c r="N62" s="200"/>
      <c r="O62" s="200"/>
      <c r="R62" s="221"/>
    </row>
    <row r="63" spans="1:32" ht="13.5" customHeight="1" x14ac:dyDescent="0.2">
      <c r="C63" s="74"/>
      <c r="D63" s="222">
        <f>Eingabe_2!F167</f>
        <v>2</v>
      </c>
      <c r="E63" s="217" t="s">
        <v>10</v>
      </c>
      <c r="F63" s="218" t="s">
        <v>33</v>
      </c>
      <c r="H63" s="219"/>
      <c r="I63" s="219"/>
      <c r="J63" s="74"/>
      <c r="K63" s="200"/>
      <c r="L63" s="220"/>
      <c r="M63" s="200"/>
      <c r="N63" s="200"/>
      <c r="O63" s="200"/>
    </row>
    <row r="64" spans="1:32" ht="13.5" customHeight="1" x14ac:dyDescent="0.2">
      <c r="C64" s="74"/>
      <c r="D64" s="222"/>
      <c r="E64" s="217"/>
      <c r="F64" s="217"/>
      <c r="G64" s="218"/>
      <c r="H64" s="219"/>
      <c r="I64" s="219"/>
      <c r="J64" s="223" t="s">
        <v>34</v>
      </c>
      <c r="K64" s="200"/>
      <c r="L64" s="220"/>
      <c r="M64" s="200"/>
      <c r="N64" s="200"/>
      <c r="O64" s="200"/>
      <c r="P64" s="224"/>
      <c r="W64" s="225" t="s">
        <v>35</v>
      </c>
    </row>
    <row r="65" spans="2:23" ht="13.5" customHeight="1" x14ac:dyDescent="0.2">
      <c r="B65" s="226"/>
      <c r="C65" s="227" t="s">
        <v>36</v>
      </c>
      <c r="D65" s="228"/>
      <c r="E65" s="228"/>
      <c r="F65" s="228"/>
      <c r="G65" s="227"/>
      <c r="H65" s="228"/>
      <c r="I65" s="228"/>
      <c r="J65" s="279"/>
      <c r="K65" s="228"/>
      <c r="L65" s="231"/>
      <c r="M65" s="231">
        <f>M57</f>
        <v>0</v>
      </c>
      <c r="N65" s="231"/>
      <c r="O65" s="231"/>
      <c r="P65" s="232"/>
      <c r="Q65" s="233"/>
      <c r="R65" s="230"/>
      <c r="S65" s="234"/>
      <c r="T65" s="235"/>
      <c r="U65" s="234"/>
      <c r="V65" s="545"/>
      <c r="W65" s="236">
        <f>M65</f>
        <v>0</v>
      </c>
    </row>
    <row r="66" spans="2:23" ht="13.5" customHeight="1" x14ac:dyDescent="0.2">
      <c r="B66" s="226"/>
      <c r="C66" s="237" t="s">
        <v>37</v>
      </c>
      <c r="D66" s="238">
        <v>12.5</v>
      </c>
      <c r="E66" s="239" t="s">
        <v>38</v>
      </c>
      <c r="F66" s="239"/>
      <c r="G66" s="227"/>
      <c r="H66" s="228"/>
      <c r="I66" s="228"/>
      <c r="J66" s="240">
        <f>1/(1+D62/100)^D66</f>
        <v>0.69109013106950024</v>
      </c>
      <c r="K66" s="241"/>
      <c r="L66" s="242"/>
      <c r="M66" s="231"/>
      <c r="N66" s="231"/>
      <c r="O66" s="231"/>
      <c r="P66" s="243"/>
      <c r="Q66" s="244">
        <f>Q57</f>
        <v>0</v>
      </c>
      <c r="R66" s="230"/>
      <c r="S66" s="234"/>
      <c r="T66" s="235"/>
      <c r="U66" s="234"/>
      <c r="V66" s="545"/>
      <c r="W66" s="244">
        <f>(P66+Q66)*J66</f>
        <v>0</v>
      </c>
    </row>
    <row r="67" spans="2:23" ht="13.5" customHeight="1" x14ac:dyDescent="0.2">
      <c r="B67" s="226"/>
      <c r="C67" s="237" t="s">
        <v>37</v>
      </c>
      <c r="D67" s="238">
        <v>26</v>
      </c>
      <c r="E67" s="239" t="s">
        <v>38</v>
      </c>
      <c r="F67" s="239"/>
      <c r="G67" s="227"/>
      <c r="H67" s="228"/>
      <c r="I67" s="228"/>
      <c r="J67" s="240">
        <f>1/(1+D62/100)^D67</f>
        <v>0.46369472743850448</v>
      </c>
      <c r="K67" s="231"/>
      <c r="L67" s="242"/>
      <c r="M67" s="231"/>
      <c r="N67" s="231"/>
      <c r="O67" s="231"/>
      <c r="P67" s="245">
        <f>P57</f>
        <v>0</v>
      </c>
      <c r="Q67" s="244">
        <f>Q57</f>
        <v>0</v>
      </c>
      <c r="R67" s="230"/>
      <c r="S67" s="234"/>
      <c r="T67" s="235"/>
      <c r="U67" s="234"/>
      <c r="V67" s="545"/>
      <c r="W67" s="244">
        <f>(P67+Q67)*J67</f>
        <v>0</v>
      </c>
    </row>
    <row r="68" spans="2:23" ht="13.5" customHeight="1" x14ac:dyDescent="0.2">
      <c r="B68" s="226"/>
      <c r="C68" s="237" t="s">
        <v>37</v>
      </c>
      <c r="D68" s="238">
        <v>37.5</v>
      </c>
      <c r="E68" s="239" t="s">
        <v>38</v>
      </c>
      <c r="F68" s="239"/>
      <c r="G68" s="227"/>
      <c r="H68" s="228"/>
      <c r="I68" s="228"/>
      <c r="J68" s="240">
        <f>1/(1+D62/100)^D68</f>
        <v>0.33006849546056333</v>
      </c>
      <c r="K68" s="235"/>
      <c r="L68" s="242"/>
      <c r="M68" s="235"/>
      <c r="N68" s="235"/>
      <c r="O68" s="235"/>
      <c r="P68" s="243"/>
      <c r="Q68" s="234">
        <f>Q57</f>
        <v>0</v>
      </c>
      <c r="R68" s="230"/>
      <c r="S68" s="159"/>
      <c r="T68" s="235"/>
      <c r="U68" s="234"/>
      <c r="V68" s="545"/>
      <c r="W68" s="244">
        <f>(P68+Q68)*J68</f>
        <v>0</v>
      </c>
    </row>
    <row r="69" spans="2:23" s="536" customFormat="1" ht="13.5" customHeight="1" x14ac:dyDescent="0.2">
      <c r="B69" s="566"/>
      <c r="C69" s="567" t="s">
        <v>268</v>
      </c>
      <c r="D69" s="568">
        <v>15</v>
      </c>
      <c r="E69" s="569" t="s">
        <v>38</v>
      </c>
      <c r="F69" s="569"/>
      <c r="G69" s="570"/>
      <c r="H69" s="571"/>
      <c r="I69" s="571"/>
      <c r="J69" s="252">
        <f>IF(D$62=D$63,D69,(1+D$63/100)*(((1+D$62/100)^D69-(1+D$63/100)^D69)/((1+D$62/100)^D69*(D$62/100-D$63/100))))</f>
        <v>13.886109397216375</v>
      </c>
      <c r="K69" s="572"/>
      <c r="L69" s="573"/>
      <c r="M69" s="573"/>
      <c r="N69" s="573"/>
      <c r="O69" s="573"/>
      <c r="P69" s="574"/>
      <c r="Q69" s="545"/>
      <c r="R69" s="575"/>
      <c r="S69" s="554"/>
      <c r="T69" s="573"/>
      <c r="U69" s="545">
        <f>U58</f>
        <v>0</v>
      </c>
      <c r="V69" s="545"/>
      <c r="W69" s="256">
        <f>U69*J69</f>
        <v>0</v>
      </c>
    </row>
    <row r="70" spans="2:23" s="258" customFormat="1" ht="13.5" customHeight="1" x14ac:dyDescent="0.2">
      <c r="B70" s="246"/>
      <c r="C70" s="247" t="s">
        <v>39</v>
      </c>
      <c r="D70" s="248">
        <v>25</v>
      </c>
      <c r="E70" s="249" t="s">
        <v>38</v>
      </c>
      <c r="F70" s="249"/>
      <c r="G70" s="250"/>
      <c r="H70" s="251"/>
      <c r="I70" s="251"/>
      <c r="J70" s="252">
        <f>IF(D$62=D$63,D70,(1+D$63/100)*(((1+D$62/100)^D70-(1+D$63/100)^D70)/((1+D$62/100)^D70*(D$62/100-D$63/100))))</f>
        <v>22.076618888117327</v>
      </c>
      <c r="K70" s="253"/>
      <c r="L70" s="254"/>
      <c r="M70" s="254"/>
      <c r="N70" s="254"/>
      <c r="O70" s="254"/>
      <c r="P70" s="255"/>
      <c r="Q70" s="256"/>
      <c r="R70" s="257"/>
      <c r="S70" s="256"/>
      <c r="T70" s="254"/>
      <c r="U70" s="256">
        <f>U57</f>
        <v>0</v>
      </c>
      <c r="V70" s="545"/>
      <c r="W70" s="256">
        <f>U70*J70</f>
        <v>0</v>
      </c>
    </row>
    <row r="71" spans="2:23" ht="13.5" customHeight="1" x14ac:dyDescent="0.2">
      <c r="B71" s="226"/>
      <c r="C71" s="259" t="s">
        <v>39</v>
      </c>
      <c r="D71" s="238">
        <v>50</v>
      </c>
      <c r="E71" s="239" t="s">
        <v>38</v>
      </c>
      <c r="F71" s="239"/>
      <c r="G71" s="227"/>
      <c r="H71" s="228"/>
      <c r="I71" s="228"/>
      <c r="J71" s="260">
        <f>IF(D62=D63,D71,(1+D63/100)*(((1+D62/100)^D71-(1+D63/100)^D71)/((1+D62/100)^D71*(D62/100-D63/100))))</f>
        <v>39.375030898477981</v>
      </c>
      <c r="K71" s="235"/>
      <c r="L71" s="242"/>
      <c r="M71" s="235"/>
      <c r="N71" s="235"/>
      <c r="O71" s="235"/>
      <c r="P71" s="243"/>
      <c r="Q71" s="234"/>
      <c r="R71" s="230"/>
      <c r="S71" s="228"/>
      <c r="T71" s="235"/>
      <c r="U71" s="234">
        <f>U57</f>
        <v>0</v>
      </c>
      <c r="V71" s="545"/>
      <c r="W71" s="234">
        <f>U71*J71</f>
        <v>0</v>
      </c>
    </row>
    <row r="72" spans="2:23" s="258" customFormat="1" ht="28.5" customHeight="1" x14ac:dyDescent="0.2">
      <c r="B72" s="261"/>
      <c r="C72" s="262" t="s">
        <v>40</v>
      </c>
      <c r="D72" s="263">
        <v>25</v>
      </c>
      <c r="E72" s="264" t="s">
        <v>38</v>
      </c>
      <c r="F72" s="249"/>
      <c r="G72" s="250"/>
      <c r="H72" s="251"/>
      <c r="I72" s="251"/>
      <c r="J72" s="254"/>
      <c r="K72" s="254"/>
      <c r="L72" s="254"/>
      <c r="M72" s="254"/>
      <c r="N72" s="254"/>
      <c r="O72" s="254"/>
      <c r="P72" s="254"/>
      <c r="Q72" s="254"/>
      <c r="R72" s="251"/>
      <c r="S72" s="251"/>
      <c r="T72" s="251"/>
      <c r="U72" s="265"/>
      <c r="V72" s="546"/>
      <c r="W72" s="266">
        <f>W65+W66+W69+W70</f>
        <v>0</v>
      </c>
    </row>
    <row r="73" spans="2:23" ht="28.5" customHeight="1" x14ac:dyDescent="0.2">
      <c r="B73" s="267"/>
      <c r="C73" s="268" t="s">
        <v>40</v>
      </c>
      <c r="D73" s="269">
        <f>D71</f>
        <v>50</v>
      </c>
      <c r="E73" s="270" t="s">
        <v>38</v>
      </c>
      <c r="F73" s="239"/>
      <c r="G73" s="227"/>
      <c r="H73" s="228"/>
      <c r="I73" s="228"/>
      <c r="J73" s="235"/>
      <c r="K73" s="235"/>
      <c r="L73" s="242"/>
      <c r="M73" s="235"/>
      <c r="N73" s="235"/>
      <c r="O73" s="235"/>
      <c r="P73" s="235"/>
      <c r="Q73" s="235"/>
      <c r="R73" s="228"/>
      <c r="S73" s="228"/>
      <c r="T73" s="228"/>
      <c r="U73" s="233"/>
      <c r="V73" s="546"/>
      <c r="W73" s="271">
        <f>SUM(W65:W69)+W71</f>
        <v>0</v>
      </c>
    </row>
    <row r="74" spans="2:23" x14ac:dyDescent="0.2">
      <c r="J74" s="165"/>
      <c r="K74" s="165"/>
      <c r="L74" s="186"/>
      <c r="M74" s="165"/>
      <c r="N74" s="165"/>
      <c r="O74" s="165"/>
      <c r="P74" s="165"/>
      <c r="Q74" s="165"/>
      <c r="W74" s="165"/>
    </row>
    <row r="75" spans="2:23" x14ac:dyDescent="0.2">
      <c r="J75" s="165"/>
      <c r="K75" s="165"/>
      <c r="L75" s="186"/>
      <c r="M75" s="165"/>
      <c r="N75" s="165"/>
      <c r="O75" s="165"/>
      <c r="P75" s="165"/>
      <c r="Q75" s="165"/>
      <c r="W75" s="165"/>
    </row>
    <row r="76" spans="2:23" x14ac:dyDescent="0.2">
      <c r="J76" s="165"/>
      <c r="K76" s="165"/>
      <c r="L76" s="186"/>
      <c r="M76" s="165"/>
      <c r="N76" s="165"/>
      <c r="O76" s="165"/>
      <c r="P76" s="165"/>
      <c r="Q76" s="165"/>
      <c r="W76" s="165"/>
    </row>
    <row r="77" spans="2:23" x14ac:dyDescent="0.2">
      <c r="J77" s="165"/>
      <c r="K77" s="165"/>
      <c r="L77" s="186"/>
      <c r="M77" s="165"/>
      <c r="N77" s="165"/>
      <c r="O77" s="165"/>
      <c r="P77" s="165"/>
      <c r="Q77" s="165"/>
      <c r="W77" s="165"/>
    </row>
    <row r="78" spans="2:23" x14ac:dyDescent="0.2">
      <c r="J78" s="165"/>
      <c r="K78" s="165"/>
      <c r="L78" s="186"/>
      <c r="M78" s="165"/>
      <c r="N78" s="165"/>
      <c r="O78" s="165"/>
      <c r="P78" s="165"/>
      <c r="Q78" s="165"/>
      <c r="W78" s="165"/>
    </row>
    <row r="79" spans="2:23" x14ac:dyDescent="0.2">
      <c r="J79" s="165"/>
      <c r="K79" s="165"/>
      <c r="L79" s="186"/>
      <c r="M79" s="165"/>
      <c r="N79" s="165"/>
      <c r="O79" s="165"/>
      <c r="P79" s="165"/>
      <c r="Q79" s="165"/>
      <c r="W79" s="165"/>
    </row>
    <row r="80" spans="2:23" x14ac:dyDescent="0.2">
      <c r="J80" s="165"/>
      <c r="K80" s="165"/>
      <c r="L80" s="186"/>
      <c r="M80" s="165"/>
      <c r="N80" s="165"/>
      <c r="O80" s="165"/>
      <c r="P80" s="165"/>
      <c r="Q80" s="165"/>
      <c r="W80" s="165"/>
    </row>
    <row r="81" spans="3:23" x14ac:dyDescent="0.2">
      <c r="J81" s="165"/>
      <c r="K81" s="165"/>
      <c r="L81" s="186"/>
      <c r="M81" s="165"/>
      <c r="N81" s="165"/>
      <c r="O81" s="165"/>
      <c r="P81" s="165"/>
      <c r="Q81" s="165"/>
      <c r="W81" s="165"/>
    </row>
    <row r="82" spans="3:23" x14ac:dyDescent="0.2">
      <c r="J82" s="165"/>
      <c r="K82" s="165"/>
      <c r="L82" s="186"/>
      <c r="M82" s="165"/>
      <c r="N82" s="165"/>
      <c r="O82" s="165"/>
      <c r="P82" s="165"/>
      <c r="Q82" s="165"/>
      <c r="W82" s="165"/>
    </row>
    <row r="83" spans="3:23" x14ac:dyDescent="0.2">
      <c r="J83" s="165"/>
      <c r="K83" s="165"/>
      <c r="L83" s="186"/>
      <c r="M83" s="165"/>
      <c r="N83" s="165"/>
      <c r="O83" s="165"/>
      <c r="P83" s="165"/>
      <c r="Q83" s="165"/>
      <c r="W83" s="165"/>
    </row>
    <row r="84" spans="3:23" x14ac:dyDescent="0.2">
      <c r="J84" s="165"/>
      <c r="K84" s="165"/>
      <c r="L84" s="186"/>
      <c r="M84" s="165"/>
      <c r="N84" s="165"/>
      <c r="O84" s="165"/>
      <c r="P84" s="165"/>
      <c r="Q84" s="165"/>
      <c r="W84" s="165"/>
    </row>
    <row r="85" spans="3:23" x14ac:dyDescent="0.2">
      <c r="J85" s="165"/>
      <c r="K85" s="165"/>
      <c r="L85" s="186"/>
      <c r="M85" s="165"/>
      <c r="N85" s="165"/>
      <c r="O85" s="165"/>
      <c r="P85" s="165"/>
      <c r="Q85" s="165"/>
      <c r="W85" s="165"/>
    </row>
    <row r="86" spans="3:23" x14ac:dyDescent="0.2">
      <c r="J86" s="165"/>
      <c r="K86" s="165"/>
      <c r="L86" s="186"/>
      <c r="M86" s="165"/>
      <c r="N86" s="165"/>
      <c r="O86" s="165"/>
      <c r="P86" s="165"/>
      <c r="Q86" s="165"/>
      <c r="W86" s="165"/>
    </row>
    <row r="87" spans="3:23" x14ac:dyDescent="0.2">
      <c r="J87" s="165"/>
      <c r="K87" s="165"/>
      <c r="L87" s="186"/>
      <c r="M87" s="165"/>
      <c r="N87" s="165"/>
      <c r="O87" s="165"/>
      <c r="P87" s="165"/>
      <c r="Q87" s="165"/>
      <c r="W87" s="165"/>
    </row>
    <row r="88" spans="3:23" ht="13.5" thickBot="1" x14ac:dyDescent="0.25">
      <c r="J88" s="165"/>
      <c r="K88" s="165"/>
      <c r="L88" s="186"/>
      <c r="M88" s="165"/>
      <c r="N88" s="165"/>
      <c r="O88" s="165"/>
      <c r="P88" s="165"/>
      <c r="W88" s="165"/>
    </row>
    <row r="89" spans="3:23" x14ac:dyDescent="0.2">
      <c r="C89" s="70" t="s">
        <v>146</v>
      </c>
      <c r="D89" s="71"/>
      <c r="E89" s="71"/>
      <c r="F89" s="72"/>
    </row>
    <row r="90" spans="3:23" x14ac:dyDescent="0.2">
      <c r="C90" s="73"/>
      <c r="F90" s="75"/>
    </row>
    <row r="91" spans="3:23" x14ac:dyDescent="0.2">
      <c r="C91" s="76" t="s">
        <v>59</v>
      </c>
      <c r="F91" s="75"/>
    </row>
    <row r="92" spans="3:23" x14ac:dyDescent="0.2">
      <c r="C92" s="77" t="s">
        <v>60</v>
      </c>
      <c r="F92" s="75"/>
    </row>
    <row r="93" spans="3:23" x14ac:dyDescent="0.2">
      <c r="C93" s="73"/>
      <c r="F93" s="75"/>
    </row>
    <row r="94" spans="3:23" ht="14.25" x14ac:dyDescent="0.2">
      <c r="C94" s="78" t="s">
        <v>56</v>
      </c>
      <c r="F94" s="75"/>
    </row>
    <row r="95" spans="3:23" ht="14.25" x14ac:dyDescent="0.2">
      <c r="C95" s="79" t="s">
        <v>57</v>
      </c>
      <c r="F95" s="75"/>
    </row>
    <row r="96" spans="3:23" ht="14.25" x14ac:dyDescent="0.2">
      <c r="C96" s="80" t="s">
        <v>58</v>
      </c>
      <c r="F96" s="75"/>
    </row>
    <row r="97" spans="3:7" x14ac:dyDescent="0.2">
      <c r="C97" s="73"/>
      <c r="F97" s="75"/>
    </row>
    <row r="98" spans="3:7" x14ac:dyDescent="0.2">
      <c r="C98" s="81" t="s">
        <v>64</v>
      </c>
      <c r="F98" s="75"/>
    </row>
    <row r="99" spans="3:7" x14ac:dyDescent="0.2">
      <c r="C99" s="82" t="s">
        <v>68</v>
      </c>
      <c r="F99" s="75"/>
    </row>
    <row r="100" spans="3:7" x14ac:dyDescent="0.2">
      <c r="C100" s="73"/>
      <c r="F100" s="75"/>
    </row>
    <row r="101" spans="3:7" x14ac:dyDescent="0.2">
      <c r="C101" s="76" t="s">
        <v>74</v>
      </c>
      <c r="F101" s="75"/>
    </row>
    <row r="102" spans="3:7" x14ac:dyDescent="0.2">
      <c r="C102" s="77" t="s">
        <v>75</v>
      </c>
      <c r="F102" s="75"/>
    </row>
    <row r="103" spans="3:7" x14ac:dyDescent="0.2">
      <c r="C103" s="73"/>
      <c r="F103" s="75"/>
    </row>
    <row r="104" spans="3:7" x14ac:dyDescent="0.2">
      <c r="C104" s="73"/>
      <c r="F104" s="75"/>
    </row>
    <row r="105" spans="3:7" x14ac:dyDescent="0.2">
      <c r="C105" s="358" t="s">
        <v>65</v>
      </c>
      <c r="D105" s="83">
        <v>2.8643000000000001</v>
      </c>
      <c r="E105" s="74">
        <v>588.42999999999995</v>
      </c>
      <c r="F105" s="359"/>
      <c r="G105" s="591" t="s">
        <v>292</v>
      </c>
    </row>
    <row r="106" spans="3:7" x14ac:dyDescent="0.2">
      <c r="C106" s="358" t="s">
        <v>66</v>
      </c>
      <c r="D106" s="83">
        <v>1.5461</v>
      </c>
      <c r="E106" s="74">
        <v>287.11</v>
      </c>
      <c r="F106" s="359"/>
      <c r="G106" s="591" t="s">
        <v>292</v>
      </c>
    </row>
    <row r="107" spans="3:7" x14ac:dyDescent="0.2">
      <c r="C107" s="358" t="s">
        <v>67</v>
      </c>
      <c r="D107" s="83">
        <v>2.1246999999999998</v>
      </c>
      <c r="E107" s="74">
        <v>375.99</v>
      </c>
      <c r="F107" s="359"/>
      <c r="G107" s="591" t="s">
        <v>292</v>
      </c>
    </row>
    <row r="108" spans="3:7" x14ac:dyDescent="0.2">
      <c r="C108" s="358" t="s">
        <v>69</v>
      </c>
      <c r="D108" s="83">
        <v>1.3994</v>
      </c>
      <c r="E108" s="74">
        <v>200.14</v>
      </c>
      <c r="F108" s="359"/>
      <c r="G108" s="591" t="s">
        <v>292</v>
      </c>
    </row>
    <row r="109" spans="3:7" x14ac:dyDescent="0.2">
      <c r="C109" s="362" t="s">
        <v>70</v>
      </c>
      <c r="D109" s="83">
        <v>3.0999999999999999E-3</v>
      </c>
      <c r="E109" s="84">
        <v>0.109</v>
      </c>
      <c r="F109" s="359">
        <v>381.5</v>
      </c>
      <c r="G109" s="591" t="s">
        <v>292</v>
      </c>
    </row>
    <row r="110" spans="3:7" x14ac:dyDescent="0.2">
      <c r="C110" s="362" t="s">
        <v>72</v>
      </c>
      <c r="D110" s="83">
        <v>1.9E-3</v>
      </c>
      <c r="E110" s="84">
        <v>0.22600000000000001</v>
      </c>
      <c r="F110" s="359">
        <v>282.5</v>
      </c>
      <c r="G110" s="591" t="s">
        <v>292</v>
      </c>
    </row>
    <row r="111" spans="3:7" x14ac:dyDescent="0.2">
      <c r="C111" s="362" t="s">
        <v>71</v>
      </c>
      <c r="D111" s="83">
        <v>1.4E-3</v>
      </c>
      <c r="E111" s="84">
        <v>0.35099999999999998</v>
      </c>
      <c r="F111" s="359">
        <v>175.5</v>
      </c>
      <c r="G111" s="591" t="s">
        <v>292</v>
      </c>
    </row>
    <row r="112" spans="3:7" x14ac:dyDescent="0.2">
      <c r="C112" s="358"/>
      <c r="F112" s="359"/>
      <c r="G112" s="591"/>
    </row>
    <row r="113" spans="3:7" x14ac:dyDescent="0.2">
      <c r="C113" s="358" t="s">
        <v>176</v>
      </c>
      <c r="D113" s="74">
        <v>58509</v>
      </c>
      <c r="E113" s="353">
        <v>-0.45400000000000001</v>
      </c>
      <c r="F113" s="363">
        <v>1</v>
      </c>
      <c r="G113" s="591" t="s">
        <v>292</v>
      </c>
    </row>
    <row r="114" spans="3:7" x14ac:dyDescent="0.2">
      <c r="C114" s="358" t="s">
        <v>175</v>
      </c>
      <c r="D114" s="74">
        <v>45507</v>
      </c>
      <c r="E114" s="353">
        <v>-0.45400000000000001</v>
      </c>
      <c r="F114" s="363">
        <v>1</v>
      </c>
      <c r="G114" s="591" t="s">
        <v>292</v>
      </c>
    </row>
    <row r="115" spans="3:7" x14ac:dyDescent="0.2">
      <c r="C115" s="358" t="s">
        <v>178</v>
      </c>
      <c r="D115" s="74">
        <v>39006</v>
      </c>
      <c r="E115" s="353">
        <v>-0.45400000000000001</v>
      </c>
      <c r="F115" s="363">
        <v>1</v>
      </c>
      <c r="G115" s="591" t="s">
        <v>292</v>
      </c>
    </row>
    <row r="116" spans="3:7" x14ac:dyDescent="0.2">
      <c r="C116" s="358" t="s">
        <v>177</v>
      </c>
      <c r="D116" s="74">
        <v>30338</v>
      </c>
      <c r="E116" s="353">
        <v>-0.45400000000000001</v>
      </c>
      <c r="F116" s="363">
        <v>1</v>
      </c>
      <c r="G116" s="591" t="s">
        <v>292</v>
      </c>
    </row>
    <row r="117" spans="3:7" x14ac:dyDescent="0.2">
      <c r="C117" s="423" t="s">
        <v>242</v>
      </c>
      <c r="D117" s="74">
        <v>39006</v>
      </c>
      <c r="E117" s="353">
        <v>-0.45400000000000001</v>
      </c>
      <c r="F117" s="363">
        <v>1</v>
      </c>
      <c r="G117" s="591" t="s">
        <v>292</v>
      </c>
    </row>
    <row r="118" spans="3:7" x14ac:dyDescent="0.2">
      <c r="C118" s="423" t="s">
        <v>241</v>
      </c>
      <c r="D118" s="74">
        <v>30338</v>
      </c>
      <c r="E118" s="353">
        <v>-0.45400000000000001</v>
      </c>
      <c r="F118" s="363">
        <v>1</v>
      </c>
      <c r="G118" s="591" t="s">
        <v>292</v>
      </c>
    </row>
    <row r="119" spans="3:7" x14ac:dyDescent="0.2">
      <c r="C119" s="364" t="s">
        <v>185</v>
      </c>
      <c r="D119" s="328">
        <v>58509</v>
      </c>
      <c r="E119" s="354">
        <v>-0.45400000000000001</v>
      </c>
      <c r="F119" s="365">
        <v>1</v>
      </c>
      <c r="G119" s="591" t="s">
        <v>292</v>
      </c>
    </row>
    <row r="120" spans="3:7" x14ac:dyDescent="0.2">
      <c r="C120" s="364" t="s">
        <v>186</v>
      </c>
      <c r="D120" s="328">
        <v>45507</v>
      </c>
      <c r="E120" s="354">
        <v>-0.45400000000000001</v>
      </c>
      <c r="F120" s="365">
        <v>1</v>
      </c>
      <c r="G120" s="591" t="s">
        <v>292</v>
      </c>
    </row>
    <row r="121" spans="3:7" x14ac:dyDescent="0.2">
      <c r="C121" s="364" t="s">
        <v>187</v>
      </c>
      <c r="D121" s="328">
        <v>39006</v>
      </c>
      <c r="E121" s="354">
        <v>-0.45400000000000001</v>
      </c>
      <c r="F121" s="365">
        <v>1</v>
      </c>
      <c r="G121" s="591" t="s">
        <v>292</v>
      </c>
    </row>
    <row r="122" spans="3:7" x14ac:dyDescent="0.2">
      <c r="C122" s="364" t="s">
        <v>188</v>
      </c>
      <c r="D122" s="328">
        <v>30338</v>
      </c>
      <c r="E122" s="354">
        <v>-0.45400000000000001</v>
      </c>
      <c r="F122" s="365">
        <v>1</v>
      </c>
      <c r="G122" s="591" t="s">
        <v>292</v>
      </c>
    </row>
    <row r="123" spans="3:7" x14ac:dyDescent="0.2">
      <c r="C123" s="422" t="s">
        <v>239</v>
      </c>
      <c r="D123" s="328">
        <v>11791</v>
      </c>
      <c r="E123" s="354">
        <v>-0.46300000000000002</v>
      </c>
      <c r="F123" s="365">
        <v>1.5</v>
      </c>
      <c r="G123" s="591" t="s">
        <v>292</v>
      </c>
    </row>
    <row r="124" spans="3:7" x14ac:dyDescent="0.2">
      <c r="C124" s="422" t="s">
        <v>240</v>
      </c>
      <c r="D124" s="328">
        <v>11791</v>
      </c>
      <c r="E124" s="354">
        <v>-0.46300000000000002</v>
      </c>
      <c r="F124" s="365">
        <v>1</v>
      </c>
      <c r="G124" s="591" t="s">
        <v>292</v>
      </c>
    </row>
    <row r="125" spans="3:7" x14ac:dyDescent="0.2">
      <c r="C125" s="423" t="s">
        <v>180</v>
      </c>
      <c r="D125" s="74">
        <v>58509</v>
      </c>
      <c r="E125" s="353">
        <v>-0.45400000000000001</v>
      </c>
      <c r="F125" s="363">
        <v>0.8</v>
      </c>
      <c r="G125" s="591" t="s">
        <v>292</v>
      </c>
    </row>
    <row r="126" spans="3:7" x14ac:dyDescent="0.2">
      <c r="C126" s="358" t="s">
        <v>179</v>
      </c>
      <c r="D126" s="74">
        <v>45507</v>
      </c>
      <c r="E126" s="353">
        <v>-0.45400000000000001</v>
      </c>
      <c r="F126" s="363">
        <v>0.8</v>
      </c>
      <c r="G126" s="591" t="s">
        <v>292</v>
      </c>
    </row>
    <row r="127" spans="3:7" x14ac:dyDescent="0.2">
      <c r="C127" s="358" t="s">
        <v>182</v>
      </c>
      <c r="D127" s="74">
        <v>39006</v>
      </c>
      <c r="E127" s="353">
        <v>-0.45400000000000001</v>
      </c>
      <c r="F127" s="363">
        <v>0.8</v>
      </c>
      <c r="G127" s="591" t="s">
        <v>292</v>
      </c>
    </row>
    <row r="128" spans="3:7" x14ac:dyDescent="0.2">
      <c r="C128" s="423" t="s">
        <v>181</v>
      </c>
      <c r="D128" s="74">
        <v>30338</v>
      </c>
      <c r="E128" s="353">
        <v>-0.45400000000000001</v>
      </c>
      <c r="F128" s="363">
        <v>0.8</v>
      </c>
      <c r="G128" s="591" t="s">
        <v>292</v>
      </c>
    </row>
    <row r="129" spans="3:7" x14ac:dyDescent="0.2">
      <c r="C129" s="424" t="s">
        <v>237</v>
      </c>
      <c r="D129" s="74">
        <v>11791</v>
      </c>
      <c r="E129" s="353">
        <v>-0.46300000000000002</v>
      </c>
      <c r="F129" s="363">
        <v>1.8</v>
      </c>
      <c r="G129" s="591" t="s">
        <v>292</v>
      </c>
    </row>
    <row r="130" spans="3:7" ht="13.5" thickBot="1" x14ac:dyDescent="0.25">
      <c r="C130" s="421" t="s">
        <v>238</v>
      </c>
      <c r="D130" s="366">
        <v>11791</v>
      </c>
      <c r="E130" s="367">
        <v>-0.46300000000000002</v>
      </c>
      <c r="F130" s="368">
        <v>1.2</v>
      </c>
      <c r="G130" s="591" t="s">
        <v>292</v>
      </c>
    </row>
    <row r="132" spans="3:7" x14ac:dyDescent="0.2">
      <c r="C132" s="612" t="s">
        <v>293</v>
      </c>
      <c r="D132" s="611">
        <f>SUM(D105:D130)</f>
        <v>636595.94090000005</v>
      </c>
      <c r="E132" s="611">
        <f t="shared" ref="E132:F132" si="32">SUM(E105:E130)</f>
        <v>1444.148000000001</v>
      </c>
      <c r="F132" s="611">
        <f t="shared" si="32"/>
        <v>858.19999999999982</v>
      </c>
    </row>
  </sheetData>
  <sheetProtection algorithmName="SHA-512" hashValue="70U76VnsQBXJskyMIHXnpyfRPfPyrb44hs/t/EI1cJserqlujJWrbUeNVwkNfG8B824hxz9CFBWyFWiGaSGDOA==" saltValue="9RbTF2PPi/5UPJUXNFpmgQ==" spinCount="100000" sheet="1" objects="1" scenarios="1"/>
  <autoFilter ref="A3:AF130" xr:uid="{00000000-0009-0000-0000-000007000000}"/>
  <dataConsolidate/>
  <phoneticPr fontId="12" type="noConversion"/>
  <conditionalFormatting sqref="M7:N9">
    <cfRule type="containsText" dxfId="62" priority="19" operator="containsText" text="tatsächl.">
      <formula>NOT(ISERROR(SEARCH("tatsächl.",M7)))</formula>
    </cfRule>
    <cfRule type="containsText" dxfId="61" priority="20" operator="containsText" text="Richtwert">
      <formula>NOT(ISERROR(SEARCH("Richtwert",M7)))</formula>
    </cfRule>
  </conditionalFormatting>
  <conditionalFormatting sqref="M13:N24">
    <cfRule type="containsText" dxfId="60" priority="17" operator="containsText" text="tatsächl.">
      <formula>NOT(ISERROR(SEARCH("tatsächl.",M13)))</formula>
    </cfRule>
    <cfRule type="containsText" dxfId="59" priority="18" operator="containsText" text="Richtwert">
      <formula>NOT(ISERROR(SEARCH("Richtwert",M13)))</formula>
    </cfRule>
  </conditionalFormatting>
  <conditionalFormatting sqref="M27:N33">
    <cfRule type="containsText" dxfId="58" priority="9" operator="containsText" text="tatsächl.">
      <formula>NOT(ISERROR(SEARCH("tatsächl.",M27)))</formula>
    </cfRule>
    <cfRule type="containsText" dxfId="57" priority="10" operator="containsText" text="Richtwert">
      <formula>NOT(ISERROR(SEARCH("Richtwert",M27)))</formula>
    </cfRule>
  </conditionalFormatting>
  <conditionalFormatting sqref="M37:N39">
    <cfRule type="containsText" dxfId="56" priority="7" operator="containsText" text="tatsächl.">
      <formula>NOT(ISERROR(SEARCH("tatsächl.",M37)))</formula>
    </cfRule>
    <cfRule type="containsText" dxfId="55" priority="8" operator="containsText" text="Richtwert">
      <formula>NOT(ISERROR(SEARCH("Richtwert",M37)))</formula>
    </cfRule>
  </conditionalFormatting>
  <conditionalFormatting sqref="M43:N48">
    <cfRule type="containsText" dxfId="54" priority="5" operator="containsText" text="tatsächl.">
      <formula>NOT(ISERROR(SEARCH("tatsächl.",M43)))</formula>
    </cfRule>
    <cfRule type="containsText" dxfId="53" priority="6" operator="containsText" text="Richtwert">
      <formula>NOT(ISERROR(SEARCH("Richtwert",M43)))</formula>
    </cfRule>
  </conditionalFormatting>
  <conditionalFormatting sqref="S46">
    <cfRule type="expression" dxfId="52" priority="3">
      <formula>$V$46="15 Jahre"</formula>
    </cfRule>
  </conditionalFormatting>
  <conditionalFormatting sqref="S47">
    <cfRule type="expression" dxfId="51" priority="2">
      <formula>$V$47="15 Jahre"</formula>
    </cfRule>
  </conditionalFormatting>
  <conditionalFormatting sqref="S48">
    <cfRule type="expression" dxfId="50" priority="1">
      <formula>$V$49="15 Jahre"</formula>
    </cfRule>
  </conditionalFormatting>
  <conditionalFormatting sqref="U8:V9">
    <cfRule type="containsText" dxfId="49" priority="39" operator="containsText" text="tatsächl.">
      <formula>NOT(ISERROR(SEARCH("tatsächl.",U8)))</formula>
    </cfRule>
    <cfRule type="containsText" dxfId="48" priority="40" operator="containsText" text="Richtwert">
      <formula>NOT(ISERROR(SEARCH("Richtwert",U8)))</formula>
    </cfRule>
  </conditionalFormatting>
  <conditionalFormatting sqref="U13:V24">
    <cfRule type="containsText" dxfId="47" priority="35" operator="containsText" text="tatsächl.">
      <formula>NOT(ISERROR(SEARCH("tatsächl.",U13)))</formula>
    </cfRule>
    <cfRule type="containsText" dxfId="46" priority="36" operator="containsText" text="Richtwert">
      <formula>NOT(ISERROR(SEARCH("Richtwert",U13)))</formula>
    </cfRule>
  </conditionalFormatting>
  <conditionalFormatting sqref="U27:V33">
    <cfRule type="containsText" dxfId="45" priority="31" operator="containsText" text="tatsächl.">
      <formula>NOT(ISERROR(SEARCH("tatsächl.",U27)))</formula>
    </cfRule>
    <cfRule type="containsText" dxfId="44" priority="32" operator="containsText" text="Richtwert">
      <formula>NOT(ISERROR(SEARCH("Richtwert",U27)))</formula>
    </cfRule>
  </conditionalFormatting>
  <conditionalFormatting sqref="U37:V39">
    <cfRule type="containsText" dxfId="43" priority="27" operator="containsText" text="tatsächl.">
      <formula>NOT(ISERROR(SEARCH("tatsächl.",U37)))</formula>
    </cfRule>
    <cfRule type="containsText" dxfId="42" priority="28" operator="containsText" text="Richtwert">
      <formula>NOT(ISERROR(SEARCH("Richtwert",U37)))</formula>
    </cfRule>
  </conditionalFormatting>
  <conditionalFormatting sqref="U43:V48">
    <cfRule type="containsText" dxfId="41" priority="23" operator="containsText" text="tatsächl.">
      <formula>NOT(ISERROR(SEARCH("tatsächl.",U43)))</formula>
    </cfRule>
    <cfRule type="containsText" dxfId="40" priority="24" operator="containsText" text="Richtwert">
      <formula>NOT(ISERROR(SEARCH("Richtwert",U43)))</formula>
    </cfRule>
  </conditionalFormatting>
  <dataValidations disablePrompts="1" count="3">
    <dataValidation type="custom" allowBlank="1" showInputMessage="1" showErrorMessage="1" errorTitle="Tiel" sqref="AF40:AF41 AF13:AF24" xr:uid="{00000000-0002-0000-0700-000000000000}">
      <formula1>IF(AND(G13="Freispiegel",H13="Straße ländlich"),"",0)</formula1>
    </dataValidation>
    <dataValidation type="whole" operator="greaterThan" allowBlank="1" showInputMessage="1" showErrorMessage="1" errorTitle="titel" error="meldung" sqref="J13:J24" xr:uid="{00000000-0002-0000-0700-000001000000}">
      <formula1>0</formula1>
    </dataValidation>
    <dataValidation type="list" allowBlank="1" showInputMessage="1" showErrorMessage="1" sqref="O7 O43:O48 O13:O24 O27:O34" xr:uid="{00000000-0002-0000-0700-000002000000}">
      <formula1>$K$4:$L$4</formula1>
    </dataValidation>
  </dataValidations>
  <pageMargins left="0.59055118110236227" right="0.59055118110236227" top="0.98425196850393704" bottom="0.78740157480314965" header="0.78740157480314965" footer="0.59055118110236227"/>
  <pageSetup paperSize="9" scale="49" orientation="landscape" r:id="rId1"/>
  <headerFooter alignWithMargins="0">
    <oddHeader>&amp;R&amp;"Arial,Fett"&amp;8Jedele und Partner GmbH</oddHeader>
    <oddFooter>&amp;L&amp;6&amp;F   &amp;A   &amp;D</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1">
    <tabColor indexed="42"/>
    <pageSetUpPr fitToPage="1"/>
  </sheetPr>
  <dimension ref="A1:AF132"/>
  <sheetViews>
    <sheetView showGridLines="0" zoomScaleNormal="100" workbookViewId="0">
      <pane xSplit="3" ySplit="5" topLeftCell="D6" activePane="bottomRight" state="frozen"/>
      <selection pane="topRight" activeCell="D1" sqref="D1"/>
      <selection pane="bottomLeft" activeCell="A6" sqref="A6"/>
      <selection pane="bottomRight" activeCell="C1" sqref="C1"/>
    </sheetView>
  </sheetViews>
  <sheetFormatPr baseColWidth="10" defaultColWidth="10.625" defaultRowHeight="12.75" x14ac:dyDescent="0.2"/>
  <cols>
    <col min="1" max="1" width="2.5" style="74" customWidth="1"/>
    <col min="2" max="2" width="2.5" style="125" customWidth="1"/>
    <col min="3" max="3" width="28.625" style="126" customWidth="1"/>
    <col min="4" max="4" width="6.75" style="74" customWidth="1"/>
    <col min="5" max="5" width="5.75" style="74" customWidth="1"/>
    <col min="6" max="6" width="7.75" style="74" customWidth="1"/>
    <col min="7" max="7" width="10.75" style="126" customWidth="1"/>
    <col min="8" max="8" width="8.75" style="74" customWidth="1"/>
    <col min="9" max="9" width="7.75" style="74" customWidth="1"/>
    <col min="10" max="10" width="10.75" style="126" customWidth="1"/>
    <col min="11" max="11" width="12.75" style="74" customWidth="1"/>
    <col min="12" max="12" width="12.75" style="128" customWidth="1"/>
    <col min="13" max="13" width="12.75" style="74" customWidth="1"/>
    <col min="14" max="14" width="7" style="74" bestFit="1" customWidth="1"/>
    <col min="15" max="15" width="2.25" style="74" customWidth="1"/>
    <col min="16" max="17" width="12.75" style="74" customWidth="1"/>
    <col min="18" max="20" width="11.625" style="74" customWidth="1"/>
    <col min="21" max="21" width="10.75" style="74" customWidth="1"/>
    <col min="22" max="22" width="9.25" style="536" customWidth="1"/>
    <col min="23" max="23" width="14.75" style="74" customWidth="1"/>
    <col min="24" max="24" width="10.625" style="74" customWidth="1"/>
    <col min="25" max="25" width="7.5" style="74" customWidth="1"/>
    <col min="26" max="26" width="14.375" style="74" bestFit="1" customWidth="1"/>
    <col min="27" max="31" width="10.625" style="74"/>
    <col min="32" max="32" width="19.625" style="74" bestFit="1" customWidth="1"/>
    <col min="33" max="16384" width="10.625" style="74"/>
  </cols>
  <sheetData>
    <row r="1" spans="1:32" s="114" customFormat="1" ht="15.75" x14ac:dyDescent="0.25">
      <c r="C1" s="115" t="s">
        <v>88</v>
      </c>
      <c r="F1" s="124" t="str">
        <f>Eingabe_1!G2</f>
        <v>Variante 4</v>
      </c>
      <c r="G1" s="504" t="str">
        <f>Eingabe_1!G3</f>
        <v>Text 4</v>
      </c>
      <c r="H1" s="502"/>
      <c r="K1" s="118"/>
      <c r="L1" s="119"/>
      <c r="M1" s="118"/>
      <c r="N1" s="118"/>
      <c r="O1" s="118"/>
      <c r="R1" s="120"/>
      <c r="V1" s="534"/>
    </row>
    <row r="2" spans="1:32" s="114" customFormat="1" ht="15.75" x14ac:dyDescent="0.25">
      <c r="C2" s="121"/>
      <c r="K2" s="121"/>
      <c r="L2" s="122"/>
      <c r="M2" s="123"/>
      <c r="N2" s="123"/>
      <c r="O2" s="121"/>
      <c r="S2" s="124"/>
      <c r="T2" s="124"/>
      <c r="U2" s="124"/>
      <c r="V2" s="535"/>
    </row>
    <row r="3" spans="1:32" x14ac:dyDescent="0.2">
      <c r="J3" s="127"/>
    </row>
    <row r="4" spans="1:32" s="141" customFormat="1" ht="17.25" customHeight="1" thickBot="1" x14ac:dyDescent="0.25">
      <c r="B4" s="129"/>
      <c r="C4" s="130" t="s">
        <v>13</v>
      </c>
      <c r="D4" s="131"/>
      <c r="E4" s="131"/>
      <c r="F4" s="131"/>
      <c r="G4" s="132"/>
      <c r="H4" s="131"/>
      <c r="I4" s="131"/>
      <c r="J4" s="133"/>
      <c r="K4" s="134" t="s">
        <v>85</v>
      </c>
      <c r="L4" s="135" t="s">
        <v>82</v>
      </c>
      <c r="M4" s="136" t="s">
        <v>83</v>
      </c>
      <c r="N4" s="495" t="s">
        <v>254</v>
      </c>
      <c r="O4" s="136"/>
      <c r="P4" s="137" t="s">
        <v>77</v>
      </c>
      <c r="Q4" s="138"/>
      <c r="R4" s="139" t="s">
        <v>14</v>
      </c>
      <c r="S4" s="134" t="s">
        <v>85</v>
      </c>
      <c r="T4" s="135" t="s">
        <v>82</v>
      </c>
      <c r="U4" s="136" t="s">
        <v>83</v>
      </c>
      <c r="V4" s="537" t="s">
        <v>260</v>
      </c>
      <c r="W4" s="140"/>
    </row>
    <row r="5" spans="1:32" s="141" customFormat="1" ht="18.75" customHeight="1" x14ac:dyDescent="0.2">
      <c r="B5" s="142"/>
      <c r="C5" s="143"/>
      <c r="D5" s="144" t="s">
        <v>15</v>
      </c>
      <c r="E5" s="143" t="s">
        <v>16</v>
      </c>
      <c r="F5" s="143"/>
      <c r="G5" s="143" t="s">
        <v>61</v>
      </c>
      <c r="H5" s="143"/>
      <c r="I5" s="143"/>
      <c r="J5" s="144" t="s">
        <v>17</v>
      </c>
      <c r="K5" s="145" t="s">
        <v>18</v>
      </c>
      <c r="L5" s="146" t="s">
        <v>18</v>
      </c>
      <c r="M5" s="147" t="s">
        <v>84</v>
      </c>
      <c r="N5" s="496" t="s">
        <v>255</v>
      </c>
      <c r="O5" s="147"/>
      <c r="P5" s="148" t="s">
        <v>19</v>
      </c>
      <c r="Q5" s="149" t="s">
        <v>20</v>
      </c>
      <c r="R5" s="150" t="s">
        <v>41</v>
      </c>
      <c r="S5" s="151" t="s">
        <v>21</v>
      </c>
      <c r="T5" s="146" t="s">
        <v>21</v>
      </c>
      <c r="U5" s="147" t="s">
        <v>84</v>
      </c>
      <c r="V5" s="538" t="s">
        <v>261</v>
      </c>
      <c r="W5" s="140"/>
      <c r="AC5" s="70" t="s">
        <v>73</v>
      </c>
      <c r="AD5" s="85"/>
      <c r="AE5" s="85"/>
      <c r="AF5" s="86"/>
    </row>
    <row r="6" spans="1:32" s="141" customFormat="1" ht="13.5" customHeight="1" x14ac:dyDescent="0.2">
      <c r="A6" s="469" t="s">
        <v>127</v>
      </c>
      <c r="B6" s="152">
        <v>1</v>
      </c>
      <c r="C6" s="185" t="s">
        <v>127</v>
      </c>
      <c r="D6" s="402"/>
      <c r="E6" s="401"/>
      <c r="F6" s="401"/>
      <c r="G6" s="401"/>
      <c r="H6" s="401"/>
      <c r="I6" s="401"/>
      <c r="J6" s="402"/>
      <c r="K6" s="403"/>
      <c r="L6" s="404"/>
      <c r="M6" s="405"/>
      <c r="N6" s="375"/>
      <c r="O6" s="405"/>
      <c r="P6" s="187">
        <v>0.7</v>
      </c>
      <c r="Q6" s="388">
        <v>0.3</v>
      </c>
      <c r="R6" s="165"/>
      <c r="S6" s="165"/>
      <c r="T6" s="404"/>
      <c r="U6" s="405"/>
      <c r="V6" s="538"/>
      <c r="W6" s="140"/>
      <c r="AC6" s="87" t="s">
        <v>86</v>
      </c>
      <c r="AD6" s="88" t="s">
        <v>87</v>
      </c>
      <c r="AE6" s="88"/>
      <c r="AF6" s="409"/>
    </row>
    <row r="7" spans="1:32" s="174" customFormat="1" ht="13.5" customHeight="1" x14ac:dyDescent="0.2">
      <c r="A7" s="469" t="s">
        <v>127</v>
      </c>
      <c r="B7" s="162"/>
      <c r="C7" s="126" t="s">
        <v>208</v>
      </c>
      <c r="D7" s="174">
        <f>Eingabe_1!G14</f>
        <v>0</v>
      </c>
      <c r="E7" s="163" t="s">
        <v>25</v>
      </c>
      <c r="F7" s="163"/>
      <c r="H7" s="276"/>
      <c r="I7" s="277"/>
      <c r="J7" s="165">
        <v>3000</v>
      </c>
      <c r="K7" s="383">
        <f>J7*D7</f>
        <v>0</v>
      </c>
      <c r="L7" s="169">
        <f>Eingabe_1!G15*Eingabe_1!G14</f>
        <v>0</v>
      </c>
      <c r="M7" s="168" t="str">
        <f>Eingabe_1!G16</f>
        <v>Richtwert</v>
      </c>
      <c r="N7" s="168"/>
      <c r="O7" s="168"/>
      <c r="P7" s="170"/>
      <c r="Q7" s="173"/>
      <c r="R7" s="165"/>
      <c r="S7" s="204"/>
      <c r="T7" s="382"/>
      <c r="U7" s="168"/>
      <c r="V7" s="539"/>
      <c r="W7" s="128"/>
      <c r="AC7" s="89">
        <f>IF(M7=K$4,K7,L7)</f>
        <v>0</v>
      </c>
      <c r="AD7" s="90">
        <f>IF(U7=$S$4,S7,T7)</f>
        <v>0</v>
      </c>
      <c r="AE7" s="90"/>
      <c r="AF7" s="92"/>
    </row>
    <row r="8" spans="1:32" s="141" customFormat="1" ht="13.5" customHeight="1" x14ac:dyDescent="0.2">
      <c r="A8" s="469" t="s">
        <v>127</v>
      </c>
      <c r="B8" s="162"/>
      <c r="C8" s="126" t="s">
        <v>212</v>
      </c>
      <c r="D8" s="74">
        <f>Eingabe_1!G18</f>
        <v>0</v>
      </c>
      <c r="E8" s="74" t="s">
        <v>25</v>
      </c>
      <c r="F8" s="401"/>
      <c r="G8" s="401"/>
      <c r="H8" s="401"/>
      <c r="I8" s="401"/>
      <c r="J8" s="165">
        <v>10000</v>
      </c>
      <c r="K8" s="383">
        <f>J8*D8</f>
        <v>0</v>
      </c>
      <c r="L8" s="169">
        <f>Eingabe_1!G19*Eingabe_1!G18</f>
        <v>0</v>
      </c>
      <c r="M8" s="168" t="str">
        <f>Eingabe_1!G20</f>
        <v>Richtwert</v>
      </c>
      <c r="N8" s="168"/>
      <c r="O8" s="405"/>
      <c r="P8" s="170">
        <f>(IF($M8=$K$4,$K8,$L8)*P$6)</f>
        <v>0</v>
      </c>
      <c r="Q8" s="173">
        <f>(IF($M8=$K$4,$K8,$L8)*Q$6)</f>
        <v>0</v>
      </c>
      <c r="R8" s="165" t="str">
        <f>IF(D8&gt;0,150,"-")</f>
        <v>-</v>
      </c>
      <c r="S8" s="165" t="str">
        <f>IF(D8=0,"",R8*D8)</f>
        <v/>
      </c>
      <c r="T8" s="169">
        <f>Eingabe_1!G21*D8</f>
        <v>0</v>
      </c>
      <c r="U8" s="168" t="str">
        <f>Eingabe_1!G22</f>
        <v>Richtwert</v>
      </c>
      <c r="V8" s="539"/>
      <c r="W8" s="140"/>
      <c r="AC8" s="89">
        <f>IF(M8=K$4,K8,L8)</f>
        <v>0</v>
      </c>
      <c r="AD8" s="90" t="str">
        <f>IF(U8=$S$4,S8,T8)</f>
        <v/>
      </c>
      <c r="AE8" s="90"/>
      <c r="AF8" s="409"/>
    </row>
    <row r="9" spans="1:32" s="141" customFormat="1" ht="13.5" customHeight="1" x14ac:dyDescent="0.2">
      <c r="A9" s="469" t="s">
        <v>127</v>
      </c>
      <c r="B9" s="162"/>
      <c r="C9" s="126" t="s">
        <v>213</v>
      </c>
      <c r="D9" s="74">
        <f>Eingabe_1!G24</f>
        <v>0</v>
      </c>
      <c r="E9" s="74" t="s">
        <v>25</v>
      </c>
      <c r="F9" s="401"/>
      <c r="G9" s="401"/>
      <c r="H9" s="401"/>
      <c r="I9" s="401"/>
      <c r="J9" s="165">
        <v>5500</v>
      </c>
      <c r="K9" s="383">
        <f>J9*D9</f>
        <v>0</v>
      </c>
      <c r="L9" s="169">
        <f>Eingabe_1!G25*Eingabe_1!G24</f>
        <v>0</v>
      </c>
      <c r="M9" s="168" t="str">
        <f>Eingabe_1!G26</f>
        <v>Richtwert</v>
      </c>
      <c r="N9" s="168"/>
      <c r="O9" s="74"/>
      <c r="P9" s="170">
        <f>(IF($M9=$K$4,$K9,$L9)*P$6)</f>
        <v>0</v>
      </c>
      <c r="Q9" s="173">
        <f>(IF($M9=$K$4,$K9,$L9)*Q$6)</f>
        <v>0</v>
      </c>
      <c r="R9" s="165" t="str">
        <f>IF(D9&gt;0,60,"-")</f>
        <v>-</v>
      </c>
      <c r="S9" s="165" t="str">
        <f>IF(D9=0,"",R9*D9)</f>
        <v/>
      </c>
      <c r="T9" s="169">
        <f>Eingabe_1!G27*D9</f>
        <v>0</v>
      </c>
      <c r="U9" s="168" t="str">
        <f>Eingabe_1!G28</f>
        <v>Richtwert</v>
      </c>
      <c r="V9" s="539"/>
      <c r="W9" s="140"/>
      <c r="AC9" s="89">
        <f>IF(M9=K$4,K9,L9)</f>
        <v>0</v>
      </c>
      <c r="AD9" s="90" t="str">
        <f>IF(U9=$S$4,S9,T9)</f>
        <v/>
      </c>
      <c r="AE9" s="90"/>
      <c r="AF9" s="409"/>
    </row>
    <row r="10" spans="1:32" s="141" customFormat="1" ht="13.5" customHeight="1" x14ac:dyDescent="0.2">
      <c r="A10" s="469" t="s">
        <v>127</v>
      </c>
      <c r="B10" s="162"/>
      <c r="C10" s="127"/>
      <c r="D10" s="74"/>
      <c r="E10" s="74"/>
      <c r="F10" s="401"/>
      <c r="G10" s="401"/>
      <c r="H10" s="401"/>
      <c r="I10" s="401"/>
      <c r="J10" s="402"/>
      <c r="K10" s="403"/>
      <c r="L10" s="404"/>
      <c r="M10" s="405"/>
      <c r="N10" s="204"/>
      <c r="O10" s="405"/>
      <c r="P10" s="406"/>
      <c r="Q10" s="407"/>
      <c r="R10" s="165"/>
      <c r="S10" s="165"/>
      <c r="T10" s="404"/>
      <c r="U10" s="405"/>
      <c r="V10" s="538"/>
      <c r="W10" s="140"/>
      <c r="AC10" s="93"/>
      <c r="AF10" s="409"/>
    </row>
    <row r="11" spans="1:32" s="141" customFormat="1" ht="13.5" customHeight="1" x14ac:dyDescent="0.2">
      <c r="A11" s="469" t="s">
        <v>127</v>
      </c>
      <c r="B11" s="162"/>
      <c r="C11" s="127" t="s">
        <v>26</v>
      </c>
      <c r="D11" s="410">
        <f>SUM(D7:D9)</f>
        <v>0</v>
      </c>
      <c r="E11" s="410" t="s">
        <v>25</v>
      </c>
      <c r="F11" s="401"/>
      <c r="G11" s="401"/>
      <c r="H11" s="401"/>
      <c r="I11" s="401"/>
      <c r="J11" s="402"/>
      <c r="K11" s="411">
        <f>SUM(K7:K10)</f>
        <v>0</v>
      </c>
      <c r="L11" s="410">
        <f>SUM(L7:L10)</f>
        <v>0</v>
      </c>
      <c r="M11" s="386">
        <f>AC11</f>
        <v>0</v>
      </c>
      <c r="N11" s="204"/>
      <c r="O11" s="405"/>
      <c r="P11" s="197">
        <f>SUM(P7:P10)</f>
        <v>0</v>
      </c>
      <c r="Q11" s="415">
        <f>SUM(Q7:Q10)</f>
        <v>0</v>
      </c>
      <c r="R11" s="165"/>
      <c r="S11" s="196">
        <f>SUM(S7:S10)</f>
        <v>0</v>
      </c>
      <c r="T11" s="196">
        <f>SUM(T7:T10)</f>
        <v>0</v>
      </c>
      <c r="U11" s="489">
        <f>AD11</f>
        <v>0</v>
      </c>
      <c r="V11" s="540"/>
      <c r="W11" s="140"/>
      <c r="AC11" s="93">
        <f>SUM(AC7:AC10)</f>
        <v>0</v>
      </c>
      <c r="AD11" s="94">
        <f>SUM(AD7:AD10)</f>
        <v>0</v>
      </c>
      <c r="AE11" s="94"/>
      <c r="AF11" s="409"/>
    </row>
    <row r="12" spans="1:32" ht="13.5" customHeight="1" x14ac:dyDescent="0.2">
      <c r="A12" s="466" t="s">
        <v>63</v>
      </c>
      <c r="B12" s="152">
        <v>2</v>
      </c>
      <c r="C12" s="185" t="s">
        <v>63</v>
      </c>
      <c r="D12" s="153"/>
      <c r="E12" s="153"/>
      <c r="F12" s="154" t="s">
        <v>23</v>
      </c>
      <c r="G12" s="155"/>
      <c r="H12" s="153"/>
      <c r="I12" s="154" t="s">
        <v>62</v>
      </c>
      <c r="J12" s="155"/>
      <c r="K12" s="156"/>
      <c r="L12" s="157"/>
      <c r="M12" s="156"/>
      <c r="N12" s="156"/>
      <c r="O12" s="156"/>
      <c r="P12" s="158"/>
      <c r="Q12" s="159"/>
      <c r="R12" s="160"/>
      <c r="S12" s="161"/>
      <c r="T12" s="157"/>
      <c r="U12" s="156"/>
      <c r="V12" s="541"/>
      <c r="W12" s="128"/>
      <c r="AB12" s="141"/>
      <c r="AC12" s="385"/>
      <c r="AF12" s="75"/>
    </row>
    <row r="13" spans="1:32" ht="13.5" customHeight="1" thickBot="1" x14ac:dyDescent="0.25">
      <c r="A13" s="466" t="s">
        <v>63</v>
      </c>
      <c r="B13" s="162"/>
      <c r="C13" s="163" t="s">
        <v>196</v>
      </c>
      <c r="D13" s="164">
        <f>Eingabe_1!G31</f>
        <v>0</v>
      </c>
      <c r="E13" s="163" t="s">
        <v>24</v>
      </c>
      <c r="F13" s="165">
        <f>Eingabe_1!G32</f>
        <v>0</v>
      </c>
      <c r="G13" s="126" t="str">
        <f>Eingabe_1!G33</f>
        <v>Freispiegel</v>
      </c>
      <c r="H13" s="126" t="str">
        <f>Eingabe_1!G34</f>
        <v>Straße</v>
      </c>
      <c r="I13" s="166" t="str">
        <f>Eingabe_1!G35</f>
        <v>2,5m</v>
      </c>
      <c r="J13" s="167">
        <f t="shared" ref="J13:J24" si="0">IF(G13="Freispiegel",VLOOKUP(AF13,C$105:D$108,2,FALSE)*F13+VLOOKUP(AF13,C$105:E$108,3,FALSE),VLOOKUP(AF13,C$109:D$111,2,FALSE)*F13^2+VLOOKUP(AF13,C$109:E$111,3,FALSE)*F13+VLOOKUP(AF13,C$109:F$111,4,FALSE))</f>
        <v>375.99</v>
      </c>
      <c r="K13" s="168">
        <f t="shared" ref="K13:K24" si="1">IF(AND(G13="Freispiegel",H13="Straße ländlich"),"Straße ländlich nur bei Druckleitung zulässig",D13*J13)</f>
        <v>0</v>
      </c>
      <c r="L13" s="169">
        <f>Eingabe_1!G36</f>
        <v>0</v>
      </c>
      <c r="M13" s="168" t="str">
        <f>Eingabe_1!G37</f>
        <v>Richtwert</v>
      </c>
      <c r="N13" s="494"/>
      <c r="O13" s="168"/>
      <c r="P13" s="170"/>
      <c r="Q13" s="171"/>
      <c r="R13" s="369">
        <f>IF(G13="Freispiegel",0.9,IF(G13="Druckleitung",0.6,""))</f>
        <v>0.9</v>
      </c>
      <c r="S13" s="165">
        <f>R13*D13</f>
        <v>0</v>
      </c>
      <c r="T13" s="169">
        <f>Eingabe_1!G38</f>
        <v>0</v>
      </c>
      <c r="U13" s="168" t="str">
        <f>Eingabe_1!G39</f>
        <v>Richtwert</v>
      </c>
      <c r="V13" s="539"/>
      <c r="AB13" s="141"/>
      <c r="AC13" s="89">
        <f t="shared" ref="AC13:AC24" si="2">IF(M13=$K$4,K13,L13)</f>
        <v>0</v>
      </c>
      <c r="AD13" s="90">
        <f t="shared" ref="AD13:AD24" si="3">IF(U13=$S$4,S13,T13)</f>
        <v>0</v>
      </c>
      <c r="AE13" s="90"/>
      <c r="AF13" s="91" t="str">
        <f t="shared" ref="AF13:AF24" si="4">IF(G13="Freispiegel",G13&amp;H13&amp;I13,G13&amp;H13)</f>
        <v>FreispiegelStraße2,5m</v>
      </c>
    </row>
    <row r="14" spans="1:32" ht="13.5" customHeight="1" thickBot="1" x14ac:dyDescent="0.25">
      <c r="A14" s="466" t="s">
        <v>63</v>
      </c>
      <c r="B14" s="162"/>
      <c r="C14" s="163" t="s">
        <v>197</v>
      </c>
      <c r="D14" s="164">
        <f>Eingabe_1!G41</f>
        <v>0</v>
      </c>
      <c r="E14" s="163" t="s">
        <v>24</v>
      </c>
      <c r="F14" s="165">
        <f>Eingabe_1!G42</f>
        <v>0</v>
      </c>
      <c r="G14" s="126" t="str">
        <f>Eingabe_1!G43</f>
        <v>Freispiegel</v>
      </c>
      <c r="H14" s="126" t="str">
        <f>Eingabe_1!G44</f>
        <v>Straße</v>
      </c>
      <c r="I14" s="166" t="str">
        <f>Eingabe_1!G45</f>
        <v>2,5m</v>
      </c>
      <c r="J14" s="167">
        <f t="shared" si="0"/>
        <v>375.99</v>
      </c>
      <c r="K14" s="168">
        <f t="shared" si="1"/>
        <v>0</v>
      </c>
      <c r="L14" s="169">
        <f>Eingabe_1!G46</f>
        <v>0</v>
      </c>
      <c r="M14" s="168" t="str">
        <f>Eingabe_1!G47</f>
        <v>Richtwert</v>
      </c>
      <c r="N14" s="168"/>
      <c r="O14" s="168"/>
      <c r="P14" s="170"/>
      <c r="Q14" s="171"/>
      <c r="R14" s="369">
        <f t="shared" ref="R14:R24" si="5">IF(G14="Freispiegel",0.9,IF(G14="Druckleitung",0.6,""))</f>
        <v>0.9</v>
      </c>
      <c r="S14" s="165">
        <f>R14*D14</f>
        <v>0</v>
      </c>
      <c r="T14" s="169">
        <f>Eingabe_1!G48</f>
        <v>0</v>
      </c>
      <c r="U14" s="168" t="str">
        <f>Eingabe_1!G49</f>
        <v>Richtwert</v>
      </c>
      <c r="V14" s="539"/>
      <c r="AB14" s="141"/>
      <c r="AC14" s="89">
        <f t="shared" si="2"/>
        <v>0</v>
      </c>
      <c r="AD14" s="90">
        <f t="shared" si="3"/>
        <v>0</v>
      </c>
      <c r="AE14" s="90"/>
      <c r="AF14" s="91" t="str">
        <f t="shared" si="4"/>
        <v>FreispiegelStraße2,5m</v>
      </c>
    </row>
    <row r="15" spans="1:32" ht="13.5" customHeight="1" thickBot="1" x14ac:dyDescent="0.25">
      <c r="A15" s="466" t="s">
        <v>63</v>
      </c>
      <c r="B15" s="162"/>
      <c r="C15" s="163" t="s">
        <v>198</v>
      </c>
      <c r="D15" s="164">
        <f>Eingabe_1!G51</f>
        <v>0</v>
      </c>
      <c r="E15" s="163" t="s">
        <v>24</v>
      </c>
      <c r="F15" s="165">
        <f>Eingabe_1!G52</f>
        <v>0</v>
      </c>
      <c r="G15" s="126" t="str">
        <f>Eingabe_1!G53</f>
        <v>Freispiegel</v>
      </c>
      <c r="H15" s="126" t="str">
        <f>Eingabe_1!G54</f>
        <v>Straße</v>
      </c>
      <c r="I15" s="166" t="str">
        <f>Eingabe_1!G55</f>
        <v>2,5m</v>
      </c>
      <c r="J15" s="167">
        <f t="shared" si="0"/>
        <v>375.99</v>
      </c>
      <c r="K15" s="168">
        <f t="shared" si="1"/>
        <v>0</v>
      </c>
      <c r="L15" s="169">
        <f>Eingabe_1!G56</f>
        <v>0</v>
      </c>
      <c r="M15" s="168" t="str">
        <f>Eingabe_1!G57</f>
        <v>Richtwert</v>
      </c>
      <c r="N15" s="168"/>
      <c r="O15" s="168"/>
      <c r="P15" s="170"/>
      <c r="Q15" s="171"/>
      <c r="R15" s="369">
        <f t="shared" si="5"/>
        <v>0.9</v>
      </c>
      <c r="S15" s="165">
        <f>R15*D15</f>
        <v>0</v>
      </c>
      <c r="T15" s="169">
        <f>Eingabe_1!G58</f>
        <v>0</v>
      </c>
      <c r="U15" s="168" t="str">
        <f>Eingabe_1!G59</f>
        <v>Richtwert</v>
      </c>
      <c r="V15" s="539"/>
      <c r="AB15" s="141"/>
      <c r="AC15" s="89">
        <f t="shared" si="2"/>
        <v>0</v>
      </c>
      <c r="AD15" s="90">
        <f t="shared" si="3"/>
        <v>0</v>
      </c>
      <c r="AE15" s="90"/>
      <c r="AF15" s="91" t="str">
        <f t="shared" si="4"/>
        <v>FreispiegelStraße2,5m</v>
      </c>
    </row>
    <row r="16" spans="1:32" ht="13.5" customHeight="1" thickBot="1" x14ac:dyDescent="0.25">
      <c r="A16" s="466" t="s">
        <v>63</v>
      </c>
      <c r="B16" s="162"/>
      <c r="C16" s="163" t="s">
        <v>216</v>
      </c>
      <c r="D16" s="74">
        <f>Eingabe_1!G61</f>
        <v>0</v>
      </c>
      <c r="E16" s="126" t="s">
        <v>24</v>
      </c>
      <c r="F16" s="383">
        <f>Eingabe_1!G62</f>
        <v>0</v>
      </c>
      <c r="G16" s="126" t="str">
        <f>Eingabe_1!G63</f>
        <v>Freispiegel</v>
      </c>
      <c r="H16" s="126" t="str">
        <f>Eingabe_1!G64</f>
        <v>Straße</v>
      </c>
      <c r="I16" s="166" t="str">
        <f>Eingabe_1!G65</f>
        <v>2,5m</v>
      </c>
      <c r="J16" s="167">
        <f t="shared" si="0"/>
        <v>375.99</v>
      </c>
      <c r="K16" s="168">
        <f t="shared" si="1"/>
        <v>0</v>
      </c>
      <c r="L16" s="169">
        <f>Eingabe_1!G66</f>
        <v>0</v>
      </c>
      <c r="M16" s="168" t="str">
        <f>Eingabe_1!G67</f>
        <v>Richtwert</v>
      </c>
      <c r="N16" s="168"/>
      <c r="O16" s="168"/>
      <c r="P16" s="170"/>
      <c r="Q16" s="171"/>
      <c r="R16" s="369">
        <f t="shared" si="5"/>
        <v>0.9</v>
      </c>
      <c r="S16" s="165">
        <f t="shared" ref="S16:S22" si="6">R16*D16</f>
        <v>0</v>
      </c>
      <c r="T16" s="169">
        <f>Eingabe_1!G68</f>
        <v>0</v>
      </c>
      <c r="U16" s="168" t="str">
        <f>Eingabe_1!G69</f>
        <v>Richtwert</v>
      </c>
      <c r="V16" s="539"/>
      <c r="AB16" s="141"/>
      <c r="AC16" s="89">
        <f t="shared" si="2"/>
        <v>0</v>
      </c>
      <c r="AD16" s="90">
        <f t="shared" si="3"/>
        <v>0</v>
      </c>
      <c r="AE16" s="90"/>
      <c r="AF16" s="91" t="str">
        <f t="shared" si="4"/>
        <v>FreispiegelStraße2,5m</v>
      </c>
    </row>
    <row r="17" spans="1:32" ht="13.5" customHeight="1" thickBot="1" x14ac:dyDescent="0.25">
      <c r="A17" s="466" t="s">
        <v>63</v>
      </c>
      <c r="B17" s="162"/>
      <c r="C17" s="163" t="s">
        <v>217</v>
      </c>
      <c r="D17" s="74">
        <f>Eingabe_1!G71</f>
        <v>0</v>
      </c>
      <c r="E17" s="126" t="s">
        <v>24</v>
      </c>
      <c r="F17" s="383">
        <f>Eingabe_1!G72</f>
        <v>0</v>
      </c>
      <c r="G17" s="126" t="str">
        <f>Eingabe_1!G73</f>
        <v>Freispiegel</v>
      </c>
      <c r="H17" s="126" t="str">
        <f>Eingabe_1!G74</f>
        <v>Straße</v>
      </c>
      <c r="I17" s="166" t="str">
        <f>Eingabe_1!G75</f>
        <v>2,5m</v>
      </c>
      <c r="J17" s="167">
        <f t="shared" si="0"/>
        <v>375.99</v>
      </c>
      <c r="K17" s="168">
        <f t="shared" si="1"/>
        <v>0</v>
      </c>
      <c r="L17" s="169">
        <f>Eingabe_1!G76</f>
        <v>0</v>
      </c>
      <c r="M17" s="168" t="str">
        <f>Eingabe_1!G77</f>
        <v>Richtwert</v>
      </c>
      <c r="N17" s="168"/>
      <c r="O17" s="168"/>
      <c r="P17" s="170"/>
      <c r="Q17" s="171"/>
      <c r="R17" s="369">
        <f t="shared" si="5"/>
        <v>0.9</v>
      </c>
      <c r="S17" s="165">
        <f t="shared" si="6"/>
        <v>0</v>
      </c>
      <c r="T17" s="169">
        <f>Eingabe_1!G78</f>
        <v>0</v>
      </c>
      <c r="U17" s="168" t="str">
        <f>Eingabe_1!G79</f>
        <v>Richtwert</v>
      </c>
      <c r="V17" s="539"/>
      <c r="AB17" s="141"/>
      <c r="AC17" s="89">
        <f t="shared" si="2"/>
        <v>0</v>
      </c>
      <c r="AD17" s="90">
        <f t="shared" si="3"/>
        <v>0</v>
      </c>
      <c r="AE17" s="90"/>
      <c r="AF17" s="91" t="str">
        <f t="shared" si="4"/>
        <v>FreispiegelStraße2,5m</v>
      </c>
    </row>
    <row r="18" spans="1:32" ht="13.5" customHeight="1" thickBot="1" x14ac:dyDescent="0.25">
      <c r="A18" s="466" t="s">
        <v>63</v>
      </c>
      <c r="B18" s="162"/>
      <c r="C18" s="163" t="s">
        <v>218</v>
      </c>
      <c r="D18" s="74">
        <f>Eingabe_1!G81</f>
        <v>0</v>
      </c>
      <c r="E18" s="126" t="s">
        <v>24</v>
      </c>
      <c r="F18" s="383">
        <f>Eingabe_1!G82</f>
        <v>0</v>
      </c>
      <c r="G18" s="126" t="str">
        <f>Eingabe_1!G83</f>
        <v>Freispiegel</v>
      </c>
      <c r="H18" s="126" t="str">
        <f>Eingabe_1!G84</f>
        <v>Straße</v>
      </c>
      <c r="I18" s="166" t="str">
        <f>Eingabe_1!G85</f>
        <v>2,5m</v>
      </c>
      <c r="J18" s="167">
        <f t="shared" si="0"/>
        <v>375.99</v>
      </c>
      <c r="K18" s="168">
        <f t="shared" si="1"/>
        <v>0</v>
      </c>
      <c r="L18" s="169">
        <f>Eingabe_1!G86</f>
        <v>0</v>
      </c>
      <c r="M18" s="168" t="str">
        <f>Eingabe_1!G87</f>
        <v>Richtwert</v>
      </c>
      <c r="N18" s="168"/>
      <c r="O18" s="168"/>
      <c r="P18" s="170"/>
      <c r="Q18" s="171"/>
      <c r="R18" s="369">
        <f t="shared" si="5"/>
        <v>0.9</v>
      </c>
      <c r="S18" s="165">
        <f t="shared" si="6"/>
        <v>0</v>
      </c>
      <c r="T18" s="169">
        <f>Eingabe_1!G88</f>
        <v>0</v>
      </c>
      <c r="U18" s="168" t="str">
        <f>Eingabe_1!G89</f>
        <v>Richtwert</v>
      </c>
      <c r="V18" s="539"/>
      <c r="AB18" s="141"/>
      <c r="AC18" s="89">
        <f t="shared" si="2"/>
        <v>0</v>
      </c>
      <c r="AD18" s="90">
        <f t="shared" si="3"/>
        <v>0</v>
      </c>
      <c r="AE18" s="90"/>
      <c r="AF18" s="91" t="str">
        <f t="shared" si="4"/>
        <v>FreispiegelStraße2,5m</v>
      </c>
    </row>
    <row r="19" spans="1:32" ht="13.5" customHeight="1" thickBot="1" x14ac:dyDescent="0.25">
      <c r="A19" s="466" t="s">
        <v>63</v>
      </c>
      <c r="B19" s="162"/>
      <c r="C19" s="163" t="s">
        <v>220</v>
      </c>
      <c r="D19" s="74">
        <f>Eingabe_1!G91</f>
        <v>0</v>
      </c>
      <c r="E19" s="126" t="s">
        <v>24</v>
      </c>
      <c r="F19" s="383">
        <f>Eingabe_1!G92</f>
        <v>0</v>
      </c>
      <c r="G19" s="126" t="str">
        <f>Eingabe_1!G93</f>
        <v>Freispiegel</v>
      </c>
      <c r="H19" s="126" t="str">
        <f>Eingabe_1!G94</f>
        <v>Straße</v>
      </c>
      <c r="I19" s="166" t="str">
        <f>Eingabe_1!G95</f>
        <v>2,5m</v>
      </c>
      <c r="J19" s="167">
        <f t="shared" si="0"/>
        <v>375.99</v>
      </c>
      <c r="K19" s="168">
        <f t="shared" si="1"/>
        <v>0</v>
      </c>
      <c r="L19" s="169">
        <f>Eingabe_1!G96</f>
        <v>0</v>
      </c>
      <c r="M19" s="168" t="str">
        <f>Eingabe_1!G97</f>
        <v>Richtwert</v>
      </c>
      <c r="N19" s="168"/>
      <c r="O19" s="168"/>
      <c r="P19" s="170"/>
      <c r="Q19" s="171"/>
      <c r="R19" s="369">
        <f t="shared" si="5"/>
        <v>0.9</v>
      </c>
      <c r="S19" s="165">
        <f t="shared" si="6"/>
        <v>0</v>
      </c>
      <c r="T19" s="169">
        <f>Eingabe_1!G98</f>
        <v>0</v>
      </c>
      <c r="U19" s="168" t="str">
        <f>Eingabe_1!G99</f>
        <v>Richtwert</v>
      </c>
      <c r="V19" s="539"/>
      <c r="AB19" s="141"/>
      <c r="AC19" s="89">
        <f t="shared" si="2"/>
        <v>0</v>
      </c>
      <c r="AD19" s="90">
        <f t="shared" si="3"/>
        <v>0</v>
      </c>
      <c r="AE19" s="90"/>
      <c r="AF19" s="91" t="str">
        <f t="shared" si="4"/>
        <v>FreispiegelStraße2,5m</v>
      </c>
    </row>
    <row r="20" spans="1:32" ht="13.5" customHeight="1" thickBot="1" x14ac:dyDescent="0.25">
      <c r="A20" s="466" t="s">
        <v>63</v>
      </c>
      <c r="B20" s="162"/>
      <c r="C20" s="163" t="s">
        <v>221</v>
      </c>
      <c r="D20" s="74">
        <f>Eingabe_1!G101</f>
        <v>0</v>
      </c>
      <c r="E20" s="126" t="s">
        <v>24</v>
      </c>
      <c r="F20" s="383">
        <f>Eingabe_1!G102</f>
        <v>0</v>
      </c>
      <c r="G20" s="126" t="str">
        <f>Eingabe_1!G103</f>
        <v>Freispiegel</v>
      </c>
      <c r="H20" s="126" t="str">
        <f>Eingabe_1!G104</f>
        <v>Straße</v>
      </c>
      <c r="I20" s="166" t="str">
        <f>Eingabe_1!G105</f>
        <v>2,5m</v>
      </c>
      <c r="J20" s="167">
        <f t="shared" si="0"/>
        <v>375.99</v>
      </c>
      <c r="K20" s="168">
        <f t="shared" si="1"/>
        <v>0</v>
      </c>
      <c r="L20" s="169">
        <f>Eingabe_1!G106</f>
        <v>0</v>
      </c>
      <c r="M20" s="168" t="str">
        <f>Eingabe_1!G107</f>
        <v>Richtwert</v>
      </c>
      <c r="N20" s="168"/>
      <c r="O20" s="168"/>
      <c r="P20" s="170"/>
      <c r="Q20" s="171"/>
      <c r="R20" s="369">
        <f t="shared" si="5"/>
        <v>0.9</v>
      </c>
      <c r="S20" s="165">
        <f t="shared" si="6"/>
        <v>0</v>
      </c>
      <c r="T20" s="169">
        <f>Eingabe_1!G108</f>
        <v>0</v>
      </c>
      <c r="U20" s="168" t="str">
        <f>Eingabe_1!G109</f>
        <v>Richtwert</v>
      </c>
      <c r="V20" s="539"/>
      <c r="AB20" s="141"/>
      <c r="AC20" s="89">
        <f t="shared" si="2"/>
        <v>0</v>
      </c>
      <c r="AD20" s="90">
        <f t="shared" si="3"/>
        <v>0</v>
      </c>
      <c r="AE20" s="90"/>
      <c r="AF20" s="91" t="str">
        <f t="shared" si="4"/>
        <v>FreispiegelStraße2,5m</v>
      </c>
    </row>
    <row r="21" spans="1:32" ht="13.5" customHeight="1" thickBot="1" x14ac:dyDescent="0.25">
      <c r="A21" s="466" t="s">
        <v>63</v>
      </c>
      <c r="B21" s="162"/>
      <c r="C21" s="163" t="s">
        <v>222</v>
      </c>
      <c r="D21" s="74">
        <f>Eingabe_1!G111</f>
        <v>0</v>
      </c>
      <c r="E21" s="126" t="s">
        <v>24</v>
      </c>
      <c r="F21" s="383">
        <f>Eingabe_1!G112</f>
        <v>0</v>
      </c>
      <c r="G21" s="126" t="str">
        <f>Eingabe_1!G113</f>
        <v>Freispiegel</v>
      </c>
      <c r="H21" s="126" t="str">
        <f>Eingabe_1!G114</f>
        <v>Straße</v>
      </c>
      <c r="I21" s="166" t="str">
        <f>Eingabe_1!G115</f>
        <v>2,5m</v>
      </c>
      <c r="J21" s="167">
        <f t="shared" si="0"/>
        <v>375.99</v>
      </c>
      <c r="K21" s="168">
        <f t="shared" si="1"/>
        <v>0</v>
      </c>
      <c r="L21" s="169">
        <f>Eingabe_1!G116</f>
        <v>0</v>
      </c>
      <c r="M21" s="168" t="str">
        <f>Eingabe_1!G117</f>
        <v>Richtwert</v>
      </c>
      <c r="N21" s="168"/>
      <c r="O21" s="168"/>
      <c r="P21" s="170"/>
      <c r="Q21" s="171"/>
      <c r="R21" s="369">
        <f t="shared" si="5"/>
        <v>0.9</v>
      </c>
      <c r="S21" s="165">
        <f t="shared" si="6"/>
        <v>0</v>
      </c>
      <c r="T21" s="169">
        <f>Eingabe_1!G118</f>
        <v>0</v>
      </c>
      <c r="U21" s="168" t="str">
        <f>Eingabe_1!G119</f>
        <v>Richtwert</v>
      </c>
      <c r="V21" s="539"/>
      <c r="AB21" s="141"/>
      <c r="AC21" s="89">
        <f t="shared" si="2"/>
        <v>0</v>
      </c>
      <c r="AD21" s="90">
        <f t="shared" si="3"/>
        <v>0</v>
      </c>
      <c r="AE21" s="90"/>
      <c r="AF21" s="91" t="str">
        <f t="shared" si="4"/>
        <v>FreispiegelStraße2,5m</v>
      </c>
    </row>
    <row r="22" spans="1:32" ht="13.5" customHeight="1" thickBot="1" x14ac:dyDescent="0.25">
      <c r="A22" s="466" t="s">
        <v>63</v>
      </c>
      <c r="B22" s="162"/>
      <c r="C22" s="394" t="s">
        <v>199</v>
      </c>
      <c r="D22" s="412">
        <f>Eingabe_1!G122</f>
        <v>0</v>
      </c>
      <c r="E22" s="394" t="s">
        <v>24</v>
      </c>
      <c r="F22" s="397">
        <f>Eingabe_1!G123</f>
        <v>0</v>
      </c>
      <c r="G22" s="398" t="str">
        <f>Eingabe_1!G124</f>
        <v>Druckleitung</v>
      </c>
      <c r="H22" s="398" t="str">
        <f>Eingabe_1!G125</f>
        <v>Gelände</v>
      </c>
      <c r="I22" s="399" t="str">
        <f>Eingabe_1!G126</f>
        <v>2,5m</v>
      </c>
      <c r="J22" s="413">
        <f t="shared" si="0"/>
        <v>175.5</v>
      </c>
      <c r="K22" s="168">
        <f t="shared" si="1"/>
        <v>0</v>
      </c>
      <c r="L22" s="169">
        <f>Eingabe_1!G127</f>
        <v>0</v>
      </c>
      <c r="M22" s="168" t="str">
        <f>Eingabe_1!G128</f>
        <v>Richtwert</v>
      </c>
      <c r="N22" s="168"/>
      <c r="O22" s="168"/>
      <c r="P22" s="170"/>
      <c r="Q22" s="173"/>
      <c r="R22" s="369">
        <f t="shared" si="5"/>
        <v>0.6</v>
      </c>
      <c r="S22" s="165">
        <f t="shared" si="6"/>
        <v>0</v>
      </c>
      <c r="T22" s="169">
        <f>Eingabe_1!G129</f>
        <v>0</v>
      </c>
      <c r="U22" s="168" t="str">
        <f>Eingabe_1!G130</f>
        <v>Richtwert</v>
      </c>
      <c r="V22" s="539"/>
      <c r="AB22" s="141"/>
      <c r="AC22" s="89">
        <f t="shared" si="2"/>
        <v>0</v>
      </c>
      <c r="AD22" s="90">
        <f t="shared" si="3"/>
        <v>0</v>
      </c>
      <c r="AE22" s="90"/>
      <c r="AF22" s="91" t="str">
        <f t="shared" si="4"/>
        <v>DruckleitungGelände</v>
      </c>
    </row>
    <row r="23" spans="1:32" ht="13.5" customHeight="1" thickBot="1" x14ac:dyDescent="0.25">
      <c r="A23" s="466" t="s">
        <v>63</v>
      </c>
      <c r="B23" s="162"/>
      <c r="C23" s="394" t="s">
        <v>200</v>
      </c>
      <c r="D23" s="396">
        <f>Eingabe_1!G133</f>
        <v>0</v>
      </c>
      <c r="E23" s="394" t="s">
        <v>24</v>
      </c>
      <c r="F23" s="397">
        <f>Eingabe_1!G134</f>
        <v>0</v>
      </c>
      <c r="G23" s="398" t="str">
        <f>Eingabe_1!G135</f>
        <v>Druckleitung</v>
      </c>
      <c r="H23" s="398" t="str">
        <f>Eingabe_1!G136</f>
        <v>Straße ländlich</v>
      </c>
      <c r="I23" s="399" t="str">
        <f>Eingabe_1!G137</f>
        <v>2,5m</v>
      </c>
      <c r="J23" s="413">
        <f t="shared" si="0"/>
        <v>282.5</v>
      </c>
      <c r="K23" s="168">
        <f t="shared" si="1"/>
        <v>0</v>
      </c>
      <c r="L23" s="340">
        <f>Eingabe_1!G138</f>
        <v>0</v>
      </c>
      <c r="M23" s="168" t="str">
        <f>Eingabe_1!G139</f>
        <v>Richtwert</v>
      </c>
      <c r="N23" s="168"/>
      <c r="O23" s="168"/>
      <c r="P23" s="170"/>
      <c r="Q23" s="173"/>
      <c r="R23" s="369">
        <f t="shared" si="5"/>
        <v>0.6</v>
      </c>
      <c r="S23" s="165">
        <f>R23*D23</f>
        <v>0</v>
      </c>
      <c r="T23" s="169">
        <f>Eingabe_1!G140</f>
        <v>0</v>
      </c>
      <c r="U23" s="168" t="str">
        <f>Eingabe_1!G141</f>
        <v>Richtwert</v>
      </c>
      <c r="V23" s="539"/>
      <c r="AB23" s="141"/>
      <c r="AC23" s="89">
        <f t="shared" si="2"/>
        <v>0</v>
      </c>
      <c r="AD23" s="90">
        <f t="shared" si="3"/>
        <v>0</v>
      </c>
      <c r="AE23" s="90"/>
      <c r="AF23" s="91" t="str">
        <f t="shared" si="4"/>
        <v>DruckleitungStraße ländlich</v>
      </c>
    </row>
    <row r="24" spans="1:32" ht="13.5" customHeight="1" thickBot="1" x14ac:dyDescent="0.25">
      <c r="A24" s="466" t="s">
        <v>63</v>
      </c>
      <c r="B24" s="162"/>
      <c r="C24" s="394" t="s">
        <v>201</v>
      </c>
      <c r="D24" s="396">
        <f>Eingabe_1!G144</f>
        <v>0</v>
      </c>
      <c r="E24" s="394" t="s">
        <v>24</v>
      </c>
      <c r="F24" s="397">
        <f>Eingabe_1!G145</f>
        <v>0</v>
      </c>
      <c r="G24" s="398" t="str">
        <f>Eingabe_1!G146</f>
        <v>Druckleitung</v>
      </c>
      <c r="H24" s="398" t="str">
        <f>Eingabe_1!G147</f>
        <v>Straße</v>
      </c>
      <c r="I24" s="399" t="str">
        <f>Eingabe_1!G148</f>
        <v>2,5m</v>
      </c>
      <c r="J24" s="413">
        <f t="shared" si="0"/>
        <v>381.5</v>
      </c>
      <c r="K24" s="168">
        <f t="shared" si="1"/>
        <v>0</v>
      </c>
      <c r="L24" s="340">
        <f>Eingabe_1!G149</f>
        <v>0</v>
      </c>
      <c r="M24" s="168" t="str">
        <f>Eingabe_1!G150</f>
        <v>Richtwert</v>
      </c>
      <c r="N24" s="168"/>
      <c r="O24" s="168"/>
      <c r="P24" s="170"/>
      <c r="Q24" s="173"/>
      <c r="R24" s="369">
        <f t="shared" si="5"/>
        <v>0.6</v>
      </c>
      <c r="S24" s="165">
        <f>R24*D24</f>
        <v>0</v>
      </c>
      <c r="T24" s="169">
        <f>Eingabe_1!G151</f>
        <v>0</v>
      </c>
      <c r="U24" s="168" t="str">
        <f>Eingabe_1!G152</f>
        <v>Richtwert</v>
      </c>
      <c r="V24" s="539"/>
      <c r="AB24" s="141"/>
      <c r="AC24" s="89">
        <f t="shared" si="2"/>
        <v>0</v>
      </c>
      <c r="AD24" s="90">
        <f t="shared" si="3"/>
        <v>0</v>
      </c>
      <c r="AE24" s="90"/>
      <c r="AF24" s="91" t="str">
        <f t="shared" si="4"/>
        <v>DruckleitungStraße</v>
      </c>
    </row>
    <row r="25" spans="1:32" ht="13.5" customHeight="1" x14ac:dyDescent="0.2">
      <c r="A25" s="466" t="s">
        <v>63</v>
      </c>
      <c r="B25" s="176"/>
      <c r="C25" s="177" t="s">
        <v>26</v>
      </c>
      <c r="D25" s="178">
        <f>SUM(D13:D24)</f>
        <v>0</v>
      </c>
      <c r="E25" s="178" t="s">
        <v>24</v>
      </c>
      <c r="F25" s="178"/>
      <c r="H25" s="178"/>
      <c r="I25" s="178"/>
      <c r="J25" s="151"/>
      <c r="K25" s="179">
        <f>SUM(K13:K24)</f>
        <v>0</v>
      </c>
      <c r="L25" s="180">
        <f>SUM(L13:L24)</f>
        <v>0</v>
      </c>
      <c r="M25" s="196">
        <f>AC25</f>
        <v>0</v>
      </c>
      <c r="N25" s="204"/>
      <c r="O25" s="182"/>
      <c r="P25" s="150"/>
      <c r="Q25" s="183"/>
      <c r="R25" s="165"/>
      <c r="S25" s="184">
        <f>SUM(S13:S24)</f>
        <v>0</v>
      </c>
      <c r="T25" s="180">
        <f>SUM(T13:T24)</f>
        <v>0</v>
      </c>
      <c r="U25" s="196">
        <f>AD25</f>
        <v>0</v>
      </c>
      <c r="V25" s="540"/>
      <c r="W25" s="128"/>
      <c r="AB25" s="141"/>
      <c r="AC25" s="93">
        <f>SUM(AC13:AC24)</f>
        <v>0</v>
      </c>
      <c r="AD25" s="94">
        <f>SUM(AD13:AD24)</f>
        <v>0</v>
      </c>
      <c r="AE25" s="94"/>
      <c r="AF25" s="75"/>
    </row>
    <row r="26" spans="1:32" s="192" customFormat="1" ht="13.5" customHeight="1" x14ac:dyDescent="0.2">
      <c r="A26" s="467" t="s">
        <v>245</v>
      </c>
      <c r="B26" s="152">
        <v>3</v>
      </c>
      <c r="C26" s="185" t="s">
        <v>214</v>
      </c>
      <c r="D26" s="156"/>
      <c r="E26" s="153"/>
      <c r="F26" s="153"/>
      <c r="G26" s="155"/>
      <c r="H26" s="153"/>
      <c r="I26" s="153"/>
      <c r="J26" s="165"/>
      <c r="K26" s="165"/>
      <c r="L26" s="186"/>
      <c r="M26" s="165"/>
      <c r="N26" s="201"/>
      <c r="O26" s="165"/>
      <c r="P26" s="187">
        <v>0.6</v>
      </c>
      <c r="Q26" s="188">
        <v>0.4</v>
      </c>
      <c r="R26" s="189" t="s">
        <v>189</v>
      </c>
      <c r="S26" s="190" t="s">
        <v>27</v>
      </c>
      <c r="T26" s="186"/>
      <c r="U26" s="165"/>
      <c r="V26" s="542"/>
      <c r="W26" s="191"/>
      <c r="AB26" s="141"/>
      <c r="AC26" s="95"/>
      <c r="AD26" s="90"/>
      <c r="AE26" s="90"/>
      <c r="AF26" s="96"/>
    </row>
    <row r="27" spans="1:32" s="192" customFormat="1" ht="13.5" customHeight="1" x14ac:dyDescent="0.2">
      <c r="A27" s="467" t="s">
        <v>245</v>
      </c>
      <c r="B27" s="162"/>
      <c r="C27" s="126" t="s">
        <v>153</v>
      </c>
      <c r="D27" s="74">
        <f>Eingabe_2!G7</f>
        <v>0</v>
      </c>
      <c r="E27" s="74" t="s">
        <v>22</v>
      </c>
      <c r="F27" s="74">
        <f>Eingabe_2!G8</f>
        <v>0</v>
      </c>
      <c r="G27" s="126" t="s">
        <v>29</v>
      </c>
      <c r="H27" s="74"/>
      <c r="I27" s="74"/>
      <c r="J27" s="165"/>
      <c r="K27" s="165">
        <f>90967*D27^0.6109</f>
        <v>0</v>
      </c>
      <c r="L27" s="169">
        <f>Eingabe_2!G9</f>
        <v>0</v>
      </c>
      <c r="M27" s="168" t="str">
        <f>Eingabe_2!G10</f>
        <v>Richtwert</v>
      </c>
      <c r="N27" s="525">
        <f>Eingabe_2!G11</f>
        <v>1</v>
      </c>
      <c r="O27" s="168"/>
      <c r="P27" s="170">
        <f t="shared" ref="P27:Q34" si="7">(IF($M27=$K$4,$K27,$L27)*P$26)</f>
        <v>0</v>
      </c>
      <c r="Q27" s="165">
        <f t="shared" si="7"/>
        <v>0</v>
      </c>
      <c r="R27" s="170" t="str">
        <f>IF(D27&gt;0,1800,"-")</f>
        <v>-</v>
      </c>
      <c r="S27" s="165">
        <f>IF(AND(D27&gt;0,F27&gt;0),(F27+100)*1.75,0)</f>
        <v>0</v>
      </c>
      <c r="T27" s="169">
        <f>Eingabe_2!G12</f>
        <v>0</v>
      </c>
      <c r="U27" s="168" t="str">
        <f>Eingabe_2!G13</f>
        <v>Richtwert</v>
      </c>
      <c r="V27" s="539"/>
      <c r="W27" s="191"/>
      <c r="AB27" s="141"/>
      <c r="AC27" s="89">
        <f>IF(M27=K$4,K27*N27,L27*N27)</f>
        <v>0</v>
      </c>
      <c r="AD27" s="90">
        <f>IF(U27=T$4,T27,IF(OR(R27="-",S27="-"),0,R27+S27))</f>
        <v>0</v>
      </c>
      <c r="AE27" s="90"/>
      <c r="AF27" s="96"/>
    </row>
    <row r="28" spans="1:32" s="192" customFormat="1" ht="13.5" customHeight="1" x14ac:dyDescent="0.2">
      <c r="A28" s="467" t="s">
        <v>245</v>
      </c>
      <c r="B28" s="162"/>
      <c r="C28" s="126" t="s">
        <v>154</v>
      </c>
      <c r="D28" s="74">
        <f>Eingabe_2!G16</f>
        <v>0</v>
      </c>
      <c r="E28" s="74" t="s">
        <v>22</v>
      </c>
      <c r="F28" s="74">
        <f>Eingabe_2!G17</f>
        <v>0</v>
      </c>
      <c r="G28" s="126" t="s">
        <v>29</v>
      </c>
      <c r="H28" s="74"/>
      <c r="I28" s="74"/>
      <c r="J28" s="165"/>
      <c r="K28" s="165">
        <f t="shared" ref="K28:K31" si="8">90967*D28^0.6109</f>
        <v>0</v>
      </c>
      <c r="L28" s="169">
        <f>Eingabe_2!G18</f>
        <v>0</v>
      </c>
      <c r="M28" s="168" t="str">
        <f>Eingabe_2!G19</f>
        <v>Richtwert</v>
      </c>
      <c r="N28" s="525">
        <f>Eingabe_2!G20</f>
        <v>1</v>
      </c>
      <c r="O28" s="168"/>
      <c r="P28" s="170">
        <f t="shared" si="7"/>
        <v>0</v>
      </c>
      <c r="Q28" s="165">
        <f t="shared" si="7"/>
        <v>0</v>
      </c>
      <c r="R28" s="170" t="str">
        <f t="shared" ref="R28:R31" si="9">IF(D28&gt;0,1800,"-")</f>
        <v>-</v>
      </c>
      <c r="S28" s="165">
        <f t="shared" ref="S28:S29" si="10">IF(AND(D28&gt;0,F28&gt;0),(F28+100)*1.75,0)</f>
        <v>0</v>
      </c>
      <c r="T28" s="169">
        <f>Eingabe_2!G21</f>
        <v>0</v>
      </c>
      <c r="U28" s="168" t="str">
        <f>Eingabe_2!G22</f>
        <v>Richtwert</v>
      </c>
      <c r="V28" s="539"/>
      <c r="W28" s="191"/>
      <c r="AC28" s="89">
        <f t="shared" ref="AC28:AC33" si="11">IF(M28=K$4,K28*N28,L28*N28)</f>
        <v>0</v>
      </c>
      <c r="AD28" s="90">
        <f>IF(U28=T$4,T28,IF(OR(R28="-",S28="-"),0,R28+S28))</f>
        <v>0</v>
      </c>
      <c r="AE28" s="90"/>
      <c r="AF28" s="96"/>
    </row>
    <row r="29" spans="1:32" s="192" customFormat="1" ht="13.5" customHeight="1" x14ac:dyDescent="0.2">
      <c r="A29" s="467" t="s">
        <v>245</v>
      </c>
      <c r="B29" s="162"/>
      <c r="C29" s="126" t="s">
        <v>155</v>
      </c>
      <c r="D29" s="74">
        <f>Eingabe_2!G25</f>
        <v>0</v>
      </c>
      <c r="E29" s="74" t="s">
        <v>22</v>
      </c>
      <c r="F29" s="74">
        <f>Eingabe_2!G26</f>
        <v>0</v>
      </c>
      <c r="G29" s="126" t="s">
        <v>29</v>
      </c>
      <c r="H29" s="74"/>
      <c r="I29" s="74"/>
      <c r="J29" s="165"/>
      <c r="K29" s="165">
        <f t="shared" si="8"/>
        <v>0</v>
      </c>
      <c r="L29" s="169">
        <f>Eingabe_2!G27</f>
        <v>0</v>
      </c>
      <c r="M29" s="168" t="str">
        <f>Eingabe_2!G28</f>
        <v>Richtwert</v>
      </c>
      <c r="N29" s="525">
        <f>Eingabe_2!G29</f>
        <v>1</v>
      </c>
      <c r="O29" s="168"/>
      <c r="P29" s="170">
        <f t="shared" si="7"/>
        <v>0</v>
      </c>
      <c r="Q29" s="165">
        <f t="shared" si="7"/>
        <v>0</v>
      </c>
      <c r="R29" s="170" t="str">
        <f t="shared" si="9"/>
        <v>-</v>
      </c>
      <c r="S29" s="165">
        <f t="shared" si="10"/>
        <v>0</v>
      </c>
      <c r="T29" s="169">
        <f>Eingabe_2!G30</f>
        <v>0</v>
      </c>
      <c r="U29" s="168" t="str">
        <f>Eingabe_2!G31</f>
        <v>Richtwert</v>
      </c>
      <c r="V29" s="539"/>
      <c r="W29" s="191"/>
      <c r="AC29" s="89">
        <f t="shared" si="11"/>
        <v>0</v>
      </c>
      <c r="AD29" s="90">
        <f>IF(U29=T$4,T29,IF(OR(R29="-",S29="-"),0,R29+S29))</f>
        <v>0</v>
      </c>
      <c r="AE29" s="90"/>
      <c r="AF29" s="96"/>
    </row>
    <row r="30" spans="1:32" s="192" customFormat="1" ht="13.5" customHeight="1" x14ac:dyDescent="0.2">
      <c r="A30" s="467" t="s">
        <v>245</v>
      </c>
      <c r="B30" s="162"/>
      <c r="C30" s="126" t="s">
        <v>243</v>
      </c>
      <c r="D30" s="74">
        <f>Eingabe_2!G34</f>
        <v>0</v>
      </c>
      <c r="E30" s="74" t="s">
        <v>22</v>
      </c>
      <c r="F30" s="74">
        <f>Eingabe_2!G35</f>
        <v>0</v>
      </c>
      <c r="G30" s="126" t="s">
        <v>29</v>
      </c>
      <c r="H30" s="74"/>
      <c r="I30" s="74"/>
      <c r="J30" s="165"/>
      <c r="K30" s="165">
        <f t="shared" si="8"/>
        <v>0</v>
      </c>
      <c r="L30" s="463">
        <f>Eingabe_2!G36</f>
        <v>0</v>
      </c>
      <c r="M30" s="168" t="str">
        <f>Eingabe_2!G37</f>
        <v>Richtwert</v>
      </c>
      <c r="N30" s="525">
        <f>Eingabe_2!G38</f>
        <v>1</v>
      </c>
      <c r="O30" s="168"/>
      <c r="P30" s="170">
        <f t="shared" si="7"/>
        <v>0</v>
      </c>
      <c r="Q30" s="165">
        <f t="shared" si="7"/>
        <v>0</v>
      </c>
      <c r="R30" s="170" t="str">
        <f t="shared" si="9"/>
        <v>-</v>
      </c>
      <c r="S30" s="165">
        <f t="shared" ref="S30:S31" si="12">IF(AND(D30&gt;0,F30&gt;0),F30*2.7,0)</f>
        <v>0</v>
      </c>
      <c r="T30" s="463">
        <f>Eingabe_2!G39</f>
        <v>0</v>
      </c>
      <c r="U30" s="168" t="str">
        <f>Eingabe_2!G40</f>
        <v>Richtwert</v>
      </c>
      <c r="V30" s="539"/>
      <c r="W30" s="191"/>
      <c r="AC30" s="89">
        <f t="shared" si="11"/>
        <v>0</v>
      </c>
      <c r="AD30" s="90">
        <f t="shared" ref="AD30:AD31" si="13">IF(U30=T$4,T30,IF(OR(R30="-",S30="-"),0,R30+S30))</f>
        <v>0</v>
      </c>
      <c r="AE30" s="90"/>
      <c r="AF30" s="96"/>
    </row>
    <row r="31" spans="1:32" s="192" customFormat="1" ht="13.5" customHeight="1" x14ac:dyDescent="0.2">
      <c r="A31" s="467" t="s">
        <v>245</v>
      </c>
      <c r="B31" s="162"/>
      <c r="C31" s="126" t="s">
        <v>244</v>
      </c>
      <c r="D31" s="74">
        <f>Eingabe_2!G43</f>
        <v>0</v>
      </c>
      <c r="E31" s="74" t="s">
        <v>22</v>
      </c>
      <c r="F31" s="74">
        <f>Eingabe_2!G44</f>
        <v>0</v>
      </c>
      <c r="G31" s="126" t="s">
        <v>29</v>
      </c>
      <c r="H31" s="74"/>
      <c r="I31" s="74"/>
      <c r="J31" s="165"/>
      <c r="K31" s="165">
        <f t="shared" si="8"/>
        <v>0</v>
      </c>
      <c r="L31" s="463">
        <f>Eingabe_2!G45</f>
        <v>0</v>
      </c>
      <c r="M31" s="168" t="str">
        <f>Eingabe_2!G46</f>
        <v>Richtwert</v>
      </c>
      <c r="N31" s="525">
        <f>Eingabe_2!G47</f>
        <v>1</v>
      </c>
      <c r="O31" s="168"/>
      <c r="P31" s="170">
        <f t="shared" si="7"/>
        <v>0</v>
      </c>
      <c r="Q31" s="165">
        <f t="shared" si="7"/>
        <v>0</v>
      </c>
      <c r="R31" s="170" t="str">
        <f t="shared" si="9"/>
        <v>-</v>
      </c>
      <c r="S31" s="165">
        <f t="shared" si="12"/>
        <v>0</v>
      </c>
      <c r="T31" s="463">
        <f>Eingabe_2!G48</f>
        <v>0</v>
      </c>
      <c r="U31" s="168" t="str">
        <f>Eingabe_2!G49</f>
        <v>Richtwert</v>
      </c>
      <c r="V31" s="539"/>
      <c r="W31" s="191"/>
      <c r="AC31" s="89">
        <f t="shared" si="11"/>
        <v>0</v>
      </c>
      <c r="AD31" s="90">
        <f t="shared" si="13"/>
        <v>0</v>
      </c>
      <c r="AE31" s="90"/>
      <c r="AF31" s="96"/>
    </row>
    <row r="32" spans="1:32" s="192" customFormat="1" ht="13.5" customHeight="1" x14ac:dyDescent="0.2">
      <c r="A32" s="467" t="s">
        <v>245</v>
      </c>
      <c r="B32" s="162"/>
      <c r="C32" s="126" t="s">
        <v>215</v>
      </c>
      <c r="D32" s="74"/>
      <c r="E32" s="74"/>
      <c r="F32" s="74">
        <f>Eingabe_2!G52</f>
        <v>0</v>
      </c>
      <c r="G32" s="126" t="s">
        <v>29</v>
      </c>
      <c r="H32" s="74"/>
      <c r="I32" s="74"/>
      <c r="J32" s="389"/>
      <c r="K32" s="165">
        <f>IF(F32=0,0,(0.0000006*F32^4)-(0.0013*F32^3)+(0.9796*F32^2)-(16.098*F32)+138587)*0.3*1.5</f>
        <v>0</v>
      </c>
      <c r="L32" s="169">
        <f>Eingabe_2!G53</f>
        <v>0</v>
      </c>
      <c r="M32" s="168" t="str">
        <f>Eingabe_2!G54</f>
        <v>Richtwert</v>
      </c>
      <c r="N32" s="525">
        <f>Eingabe_2!G55</f>
        <v>1</v>
      </c>
      <c r="O32" s="168"/>
      <c r="P32" s="170">
        <f t="shared" si="7"/>
        <v>0</v>
      </c>
      <c r="Q32" s="165">
        <f t="shared" si="7"/>
        <v>0</v>
      </c>
      <c r="R32" s="170" t="str">
        <f>IF(F32&gt;0,1200,"-")</f>
        <v>-</v>
      </c>
      <c r="S32" s="165" t="str">
        <f>IF(F32&gt;0,F32*8.75,"-")</f>
        <v>-</v>
      </c>
      <c r="T32" s="169">
        <f>Eingabe_2!G56</f>
        <v>0</v>
      </c>
      <c r="U32" s="168" t="str">
        <f>Eingabe_2!G57</f>
        <v>Richtwert</v>
      </c>
      <c r="V32" s="539"/>
      <c r="W32" s="191"/>
      <c r="AC32" s="89">
        <f t="shared" si="11"/>
        <v>0</v>
      </c>
      <c r="AD32" s="90">
        <f>IF(U32=T$4,T32,IF(OR(R32="-",S32="-"),0,R32+S32))</f>
        <v>0</v>
      </c>
      <c r="AE32" s="90"/>
      <c r="AF32" s="96"/>
    </row>
    <row r="33" spans="1:32" s="192" customFormat="1" ht="13.5" customHeight="1" x14ac:dyDescent="0.2">
      <c r="A33" s="467" t="s">
        <v>245</v>
      </c>
      <c r="B33" s="162"/>
      <c r="C33" s="126" t="s">
        <v>219</v>
      </c>
      <c r="D33" s="74">
        <f>Eingabe_2!G60</f>
        <v>0</v>
      </c>
      <c r="E33" s="74" t="s">
        <v>22</v>
      </c>
      <c r="F33" s="74">
        <f>Eingabe_2!G52</f>
        <v>0</v>
      </c>
      <c r="G33" s="126" t="s">
        <v>29</v>
      </c>
      <c r="H33" s="74"/>
      <c r="I33" s="74"/>
      <c r="J33" s="389"/>
      <c r="K33" s="165">
        <f>90967*D33^0.6109</f>
        <v>0</v>
      </c>
      <c r="L33" s="169">
        <f>Eingabe_2!G61</f>
        <v>0</v>
      </c>
      <c r="M33" s="168" t="str">
        <f>Eingabe_2!G62</f>
        <v>Richtwert</v>
      </c>
      <c r="N33" s="525">
        <f>Eingabe_2!G63</f>
        <v>1</v>
      </c>
      <c r="O33" s="168"/>
      <c r="P33" s="170">
        <f t="shared" si="7"/>
        <v>0</v>
      </c>
      <c r="Q33" s="165">
        <f t="shared" si="7"/>
        <v>0</v>
      </c>
      <c r="R33" s="170" t="str">
        <f>IF(D33&gt;0,1800,"-")</f>
        <v>-</v>
      </c>
      <c r="S33" s="165">
        <f>IF(AND(D33&gt;0,F33&gt;0),(F33+100)*1.75,0)</f>
        <v>0</v>
      </c>
      <c r="T33" s="169">
        <f>Eingabe_2!G64</f>
        <v>0</v>
      </c>
      <c r="U33" s="168" t="str">
        <f>Eingabe_2!G65</f>
        <v>Richtwert</v>
      </c>
      <c r="V33" s="539"/>
      <c r="W33" s="191"/>
      <c r="AC33" s="89">
        <f t="shared" si="11"/>
        <v>0</v>
      </c>
      <c r="AD33" s="90">
        <f>IF(U33=T$4,T33,IF(OR(R33="-",S33="-"),0,R33+S33))</f>
        <v>0</v>
      </c>
      <c r="AE33" s="90"/>
      <c r="AF33" s="96"/>
    </row>
    <row r="34" spans="1:32" s="192" customFormat="1" ht="13.5" customHeight="1" x14ac:dyDescent="0.2">
      <c r="A34" s="467" t="s">
        <v>245</v>
      </c>
      <c r="B34" s="162"/>
      <c r="C34" s="126"/>
      <c r="D34" s="74"/>
      <c r="E34" s="74"/>
      <c r="F34" s="74"/>
      <c r="G34" s="126"/>
      <c r="H34" s="74"/>
      <c r="I34" s="74"/>
      <c r="J34" s="165"/>
      <c r="K34" s="165"/>
      <c r="L34" s="193"/>
      <c r="M34" s="168">
        <f>AB34</f>
        <v>0</v>
      </c>
      <c r="N34" s="168"/>
      <c r="O34" s="168"/>
      <c r="P34" s="194">
        <f t="shared" si="7"/>
        <v>0</v>
      </c>
      <c r="Q34" s="165">
        <f t="shared" si="7"/>
        <v>0</v>
      </c>
      <c r="R34" s="170"/>
      <c r="S34" s="165"/>
      <c r="T34" s="193"/>
      <c r="U34" s="204">
        <f>AD34</f>
        <v>0</v>
      </c>
      <c r="V34" s="540"/>
      <c r="AC34" s="89"/>
      <c r="AD34" s="90"/>
      <c r="AE34" s="90"/>
      <c r="AF34" s="96"/>
    </row>
    <row r="35" spans="1:32" s="192" customFormat="1" ht="13.5" customHeight="1" x14ac:dyDescent="0.2">
      <c r="A35" s="467" t="s">
        <v>245</v>
      </c>
      <c r="B35" s="176"/>
      <c r="C35" s="177" t="s">
        <v>26</v>
      </c>
      <c r="D35" s="178"/>
      <c r="E35" s="178"/>
      <c r="F35" s="178"/>
      <c r="G35" s="195"/>
      <c r="H35" s="178"/>
      <c r="I35" s="178"/>
      <c r="J35" s="151"/>
      <c r="K35" s="196">
        <f>SUM(K27:K34)</f>
        <v>0</v>
      </c>
      <c r="L35" s="196">
        <f>SUM(L27:L34)</f>
        <v>0</v>
      </c>
      <c r="M35" s="196">
        <f>AC35</f>
        <v>0</v>
      </c>
      <c r="N35" s="196"/>
      <c r="O35" s="196"/>
      <c r="P35" s="197">
        <f>SUM(P27:P34)</f>
        <v>0</v>
      </c>
      <c r="Q35" s="198">
        <f>SUM(Q27:Q34)</f>
        <v>0</v>
      </c>
      <c r="R35" s="199">
        <f>SUM(R27:R34)</f>
        <v>0</v>
      </c>
      <c r="S35" s="196">
        <f>SUM(S27:S34)</f>
        <v>0</v>
      </c>
      <c r="T35" s="196">
        <f>SUM(T27:T34)</f>
        <v>0</v>
      </c>
      <c r="U35" s="196">
        <f>AD35</f>
        <v>0</v>
      </c>
      <c r="V35" s="540"/>
      <c r="AC35" s="490">
        <f>SUM(AC27:AC33)</f>
        <v>0</v>
      </c>
      <c r="AD35" s="94">
        <f>SUM(AD27:AD33)</f>
        <v>0</v>
      </c>
      <c r="AE35" s="94"/>
      <c r="AF35" s="96"/>
    </row>
    <row r="36" spans="1:32" s="192" customFormat="1" ht="13.5" customHeight="1" x14ac:dyDescent="0.2">
      <c r="A36" s="467" t="s">
        <v>158</v>
      </c>
      <c r="B36" s="162">
        <v>4</v>
      </c>
      <c r="C36" s="127" t="s">
        <v>167</v>
      </c>
      <c r="D36" s="74"/>
      <c r="E36" s="74"/>
      <c r="F36" s="74"/>
      <c r="G36" s="126"/>
      <c r="H36" s="74"/>
      <c r="I36" s="74"/>
      <c r="J36" s="165"/>
      <c r="K36" s="204"/>
      <c r="L36" s="204"/>
      <c r="M36" s="204"/>
      <c r="N36" s="204"/>
      <c r="O36" s="204"/>
      <c r="P36" s="187">
        <v>0.8</v>
      </c>
      <c r="Q36" s="188">
        <v>0.2</v>
      </c>
      <c r="R36" s="189" t="s">
        <v>189</v>
      </c>
      <c r="S36" s="330"/>
      <c r="T36" s="204"/>
      <c r="U36" s="204"/>
      <c r="V36" s="540"/>
      <c r="AC36" s="93"/>
      <c r="AD36" s="94"/>
      <c r="AE36" s="94"/>
      <c r="AF36" s="96"/>
    </row>
    <row r="37" spans="1:32" s="192" customFormat="1" ht="13.5" customHeight="1" x14ac:dyDescent="0.2">
      <c r="A37" s="467" t="s">
        <v>158</v>
      </c>
      <c r="B37" s="162"/>
      <c r="C37" s="126" t="s">
        <v>172</v>
      </c>
      <c r="D37" s="74">
        <f>Eingabe_2!G69</f>
        <v>0</v>
      </c>
      <c r="E37" s="74" t="s">
        <v>169</v>
      </c>
      <c r="F37" s="74" t="str">
        <f>Eingabe_2!G68</f>
        <v>RÜB</v>
      </c>
      <c r="G37" s="126" t="str">
        <f>Eingabe_2!G70</f>
        <v>innerorts, geschlossen</v>
      </c>
      <c r="I37" s="74" t="str">
        <f>Eingabe_2!G71</f>
        <v>normal</v>
      </c>
      <c r="J37" s="165">
        <f>IF(D37=0,0,VLOOKUP(AF37,C113:F130,2,FALSE)*(D37^(VLOOKUP(AF37,C113:F130,3,FALSE)))*VLOOKUP(AF37,C113:F130,4,FALSE))</f>
        <v>0</v>
      </c>
      <c r="K37" s="165">
        <f>D37*J37</f>
        <v>0</v>
      </c>
      <c r="L37" s="169">
        <f>Eingabe_2!G72</f>
        <v>0</v>
      </c>
      <c r="M37" s="168" t="str">
        <f>Eingabe_2!G73</f>
        <v>Richtwert</v>
      </c>
      <c r="N37" s="525">
        <f>Eingabe_2!G74</f>
        <v>1</v>
      </c>
      <c r="O37" s="204"/>
      <c r="P37" s="170">
        <f t="shared" ref="P37:Q39" si="14">(IF($M37=$K$4,$K37,$L37)*P$36)</f>
        <v>0</v>
      </c>
      <c r="Q37" s="165">
        <f t="shared" si="14"/>
        <v>0</v>
      </c>
      <c r="R37" s="170" t="str">
        <f>IF(D37&gt;0,1800,"-")</f>
        <v>-</v>
      </c>
      <c r="S37" s="204"/>
      <c r="T37" s="169">
        <f>Eingabe_2!G75</f>
        <v>0</v>
      </c>
      <c r="U37" s="168" t="str">
        <f>Eingabe_2!G76</f>
        <v>Richtwert</v>
      </c>
      <c r="V37" s="539"/>
      <c r="AC37" s="89">
        <f>IF(M37=K$4,K37*N37,L37*N37)</f>
        <v>0</v>
      </c>
      <c r="AD37" s="90">
        <f>IF(U37=T$4,T37,IF(OR(R37="-",S37="-"),0,R37+S37))</f>
        <v>0</v>
      </c>
      <c r="AE37" s="90"/>
      <c r="AF37" s="91" t="str">
        <f>F37&amp;G37&amp;I37</f>
        <v>RÜBinnerorts, geschlossennormal</v>
      </c>
    </row>
    <row r="38" spans="1:32" s="192" customFormat="1" ht="13.5" customHeight="1" x14ac:dyDescent="0.2">
      <c r="A38" s="467" t="s">
        <v>158</v>
      </c>
      <c r="B38" s="162"/>
      <c r="C38" s="126" t="s">
        <v>173</v>
      </c>
      <c r="D38" s="74">
        <f>Eingabe_2!G80</f>
        <v>0</v>
      </c>
      <c r="E38" s="74" t="s">
        <v>169</v>
      </c>
      <c r="F38" s="74" t="str">
        <f>Eingabe_2!G79</f>
        <v>RÜB</v>
      </c>
      <c r="G38" s="126" t="str">
        <f>Eingabe_2!G81</f>
        <v>außerorts, offen</v>
      </c>
      <c r="H38" s="74"/>
      <c r="I38" s="74" t="str">
        <f>Eingabe_2!G82</f>
        <v>normal</v>
      </c>
      <c r="J38" s="165">
        <f>IF(D38=0,0,VLOOKUP(AF38,C113:F130,2,FALSE)*(D38^(VLOOKUP(AF38,C113:F130,3,FALSE)))*VLOOKUP(AF38,C113:F130,4,FALSE))</f>
        <v>0</v>
      </c>
      <c r="K38" s="165">
        <f>D38*J38</f>
        <v>0</v>
      </c>
      <c r="L38" s="169">
        <f>Eingabe_2!G83</f>
        <v>0</v>
      </c>
      <c r="M38" s="168" t="str">
        <f>Eingabe_2!G84</f>
        <v>Richtwert</v>
      </c>
      <c r="N38" s="525">
        <f>Eingabe_2!G85</f>
        <v>1</v>
      </c>
      <c r="O38" s="204"/>
      <c r="P38" s="170">
        <f t="shared" si="14"/>
        <v>0</v>
      </c>
      <c r="Q38" s="165">
        <f t="shared" si="14"/>
        <v>0</v>
      </c>
      <c r="R38" s="170" t="str">
        <f t="shared" ref="R38:R39" si="15">IF(D38&gt;0,1800,"-")</f>
        <v>-</v>
      </c>
      <c r="S38" s="204"/>
      <c r="T38" s="169">
        <f>Eingabe_2!G86</f>
        <v>0</v>
      </c>
      <c r="U38" s="168" t="str">
        <f>Eingabe_2!G87</f>
        <v>Richtwert</v>
      </c>
      <c r="V38" s="539"/>
      <c r="AC38" s="89">
        <f t="shared" ref="AC38:AC39" si="16">IF(M38=K$4,K38*N38,L38*N38)</f>
        <v>0</v>
      </c>
      <c r="AD38" s="90">
        <f>IF(U38=T$4,T38,IF(OR(R38="-",S38="-"),0,R38+S38))</f>
        <v>0</v>
      </c>
      <c r="AE38" s="90"/>
      <c r="AF38" s="91" t="str">
        <f>F38&amp;G38&amp;I38</f>
        <v>RÜBaußerorts, offennormal</v>
      </c>
    </row>
    <row r="39" spans="1:32" s="192" customFormat="1" ht="13.5" customHeight="1" x14ac:dyDescent="0.2">
      <c r="A39" s="467" t="s">
        <v>158</v>
      </c>
      <c r="B39" s="162"/>
      <c r="C39" s="126" t="s">
        <v>174</v>
      </c>
      <c r="D39" s="74">
        <f>Eingabe_2!G91</f>
        <v>0</v>
      </c>
      <c r="E39" s="74" t="s">
        <v>169</v>
      </c>
      <c r="F39" s="74" t="str">
        <f>Eingabe_2!G90</f>
        <v>RÜB</v>
      </c>
      <c r="G39" s="126" t="str">
        <f>Eingabe_2!G92</f>
        <v>außerorts, offen</v>
      </c>
      <c r="H39" s="74"/>
      <c r="I39" s="74" t="str">
        <f>Eingabe_2!G93</f>
        <v>normal</v>
      </c>
      <c r="J39" s="165">
        <f>IF(D39=0,0,VLOOKUP(AF39,C113:F130,2,FALSE)*(D39^(VLOOKUP(AF39,C113:F130,3,FALSE)))*VLOOKUP(AF39,C113:F130,4,FALSE))</f>
        <v>0</v>
      </c>
      <c r="K39" s="165">
        <f>D39*J39</f>
        <v>0</v>
      </c>
      <c r="L39" s="169">
        <f>Eingabe_2!G94</f>
        <v>0</v>
      </c>
      <c r="M39" s="168" t="str">
        <f>Eingabe_2!G95</f>
        <v>Richtwert</v>
      </c>
      <c r="N39" s="525">
        <f>Eingabe_2!G96</f>
        <v>1</v>
      </c>
      <c r="O39" s="204"/>
      <c r="P39" s="170">
        <f t="shared" si="14"/>
        <v>0</v>
      </c>
      <c r="Q39" s="165">
        <f t="shared" si="14"/>
        <v>0</v>
      </c>
      <c r="R39" s="170" t="str">
        <f t="shared" si="15"/>
        <v>-</v>
      </c>
      <c r="S39" s="204"/>
      <c r="T39" s="169">
        <f>Eingabe_2!G97</f>
        <v>0</v>
      </c>
      <c r="U39" s="168" t="str">
        <f>Eingabe_2!G98</f>
        <v>Richtwert</v>
      </c>
      <c r="V39" s="539"/>
      <c r="AC39" s="89">
        <f t="shared" si="16"/>
        <v>0</v>
      </c>
      <c r="AD39" s="90">
        <f>IF(U39=T$4,T39,IF(OR(R39="-",S39="-"),0,R39+S39))</f>
        <v>0</v>
      </c>
      <c r="AE39" s="90"/>
      <c r="AF39" s="91" t="str">
        <f>F39&amp;G39&amp;I39</f>
        <v>RÜBaußerorts, offennormal</v>
      </c>
    </row>
    <row r="40" spans="1:32" s="192" customFormat="1" ht="13.5" customHeight="1" x14ac:dyDescent="0.2">
      <c r="A40" s="467" t="s">
        <v>158</v>
      </c>
      <c r="B40" s="162"/>
      <c r="C40" s="127"/>
      <c r="D40" s="74"/>
      <c r="E40" s="74"/>
      <c r="F40" s="74"/>
      <c r="G40" s="126"/>
      <c r="H40" s="74"/>
      <c r="I40" s="74"/>
      <c r="J40" s="165"/>
      <c r="K40" s="204"/>
      <c r="L40" s="204"/>
      <c r="M40" s="204"/>
      <c r="N40" s="204"/>
      <c r="O40" s="204"/>
      <c r="P40" s="170"/>
      <c r="Q40" s="165"/>
      <c r="R40" s="324"/>
      <c r="S40" s="204"/>
      <c r="T40" s="204"/>
      <c r="U40" s="204"/>
      <c r="V40" s="540"/>
      <c r="AC40" s="89"/>
      <c r="AD40" s="90"/>
      <c r="AE40" s="90"/>
      <c r="AF40" s="91"/>
    </row>
    <row r="41" spans="1:32" s="192" customFormat="1" ht="13.5" customHeight="1" x14ac:dyDescent="0.2">
      <c r="A41" s="467" t="s">
        <v>158</v>
      </c>
      <c r="B41" s="176"/>
      <c r="C41" s="177" t="s">
        <v>26</v>
      </c>
      <c r="D41" s="178"/>
      <c r="E41" s="178"/>
      <c r="F41" s="178"/>
      <c r="G41" s="195"/>
      <c r="H41" s="178"/>
      <c r="I41" s="178"/>
      <c r="J41" s="151"/>
      <c r="K41" s="196">
        <f>SUM(K37:K40)</f>
        <v>0</v>
      </c>
      <c r="L41" s="196">
        <f>SUM(L37:L40)</f>
        <v>0</v>
      </c>
      <c r="M41" s="196">
        <f>AC41</f>
        <v>0</v>
      </c>
      <c r="N41" s="204"/>
      <c r="O41" s="196"/>
      <c r="P41" s="197">
        <f>SUM(P37:P40)</f>
        <v>0</v>
      </c>
      <c r="Q41" s="198">
        <f>SUM(Q37:Q40)</f>
        <v>0</v>
      </c>
      <c r="R41" s="199">
        <f>SUM(R37:R40)</f>
        <v>0</v>
      </c>
      <c r="S41" s="196">
        <f>SUM(S37:S40)</f>
        <v>0</v>
      </c>
      <c r="T41" s="196">
        <f>SUM(T37:T40)</f>
        <v>0</v>
      </c>
      <c r="U41" s="485">
        <f>AD41</f>
        <v>0</v>
      </c>
      <c r="V41" s="540"/>
      <c r="AC41" s="490">
        <f>SUM(AC37:AC40)</f>
        <v>0</v>
      </c>
      <c r="AD41" s="94">
        <f>SUM(AD37:AD39)</f>
        <v>0</v>
      </c>
      <c r="AE41" s="94"/>
      <c r="AF41" s="91"/>
    </row>
    <row r="42" spans="1:32" s="192" customFormat="1" ht="13.5" customHeight="1" thickBot="1" x14ac:dyDescent="0.25">
      <c r="A42" s="467" t="s">
        <v>158</v>
      </c>
      <c r="B42" s="162">
        <v>5</v>
      </c>
      <c r="C42" s="127" t="s">
        <v>28</v>
      </c>
      <c r="D42" s="74"/>
      <c r="E42" s="74"/>
      <c r="F42" s="74"/>
      <c r="G42" s="126"/>
      <c r="H42" s="200" t="str">
        <f>IF(G43=C102,"Ausbaugröße externe KA","")</f>
        <v/>
      </c>
      <c r="I42" s="74"/>
      <c r="J42" s="165"/>
      <c r="K42" s="165"/>
      <c r="L42" s="186"/>
      <c r="M42" s="165"/>
      <c r="N42" s="201"/>
      <c r="O42" s="165"/>
      <c r="P42" s="370">
        <v>0.7</v>
      </c>
      <c r="Q42" s="188">
        <v>0.3</v>
      </c>
      <c r="R42" s="170"/>
      <c r="S42" s="165"/>
      <c r="T42" s="186"/>
      <c r="U42" s="165"/>
      <c r="V42" s="542"/>
      <c r="AC42" s="95"/>
      <c r="AD42" s="90"/>
      <c r="AE42" s="90"/>
      <c r="AF42" s="96"/>
    </row>
    <row r="43" spans="1:32" s="192" customFormat="1" ht="13.5" customHeight="1" thickBot="1" x14ac:dyDescent="0.25">
      <c r="A43" s="467" t="s">
        <v>158</v>
      </c>
      <c r="B43" s="162"/>
      <c r="C43" s="126" t="s">
        <v>191</v>
      </c>
      <c r="D43" s="172">
        <f>Eingabe_2!G101</f>
        <v>0</v>
      </c>
      <c r="E43" s="74" t="s">
        <v>29</v>
      </c>
      <c r="F43" s="202"/>
      <c r="G43" s="276" t="str">
        <f>Eingabe_2!G102</f>
        <v>eigene KA</v>
      </c>
      <c r="H43" s="165">
        <f>Eingabe_2!G103</f>
        <v>0</v>
      </c>
      <c r="I43" s="74" t="str">
        <f>IF(G43=C102,"EW","")</f>
        <v/>
      </c>
      <c r="J43" s="596">
        <f t="shared" ref="J43:J44" si="17">IF(G43=C$102,11183*H43^-0.261*1.45,IF(D43&gt;0,11183*D43^-0.261*1.45,0))</f>
        <v>0</v>
      </c>
      <c r="K43" s="165">
        <f>J43*D43</f>
        <v>0</v>
      </c>
      <c r="L43" s="169">
        <f>Eingabe_2!G104</f>
        <v>0</v>
      </c>
      <c r="M43" s="168" t="str">
        <f>Eingabe_2!G105</f>
        <v>Richtwert</v>
      </c>
      <c r="N43" s="525">
        <f>Eingabe_2!G106</f>
        <v>1</v>
      </c>
      <c r="O43" s="168"/>
      <c r="P43" s="170">
        <f t="shared" ref="P43:Q48" si="18">(IF($M43=$K$4,$K43,$L43)*P$42)</f>
        <v>0</v>
      </c>
      <c r="Q43" s="165">
        <f t="shared" si="18"/>
        <v>0</v>
      </c>
      <c r="R43" s="608">
        <f>IF(G43=C$102,IF(H43&gt;10000,1.4*39.703*H43^-0.079,1.4*491*H43^-0.353),IF(D43&gt;0,IF(D43&gt;10000,1.4*39.703*D43^-0.079,1.4*491*D43^-0.353),0))</f>
        <v>0</v>
      </c>
      <c r="S43" s="165">
        <f>R43*D43</f>
        <v>0</v>
      </c>
      <c r="T43" s="169">
        <f>Eingabe_2!G107</f>
        <v>0</v>
      </c>
      <c r="U43" s="168" t="str">
        <f>Eingabe_2!G108</f>
        <v>Richtwert</v>
      </c>
      <c r="V43" s="539"/>
      <c r="AC43" s="89">
        <f>IF(M43=K$4,K43*N43,L43*N43)</f>
        <v>0</v>
      </c>
      <c r="AD43" s="90">
        <f t="shared" ref="AD43:AD45" si="19">IF(U43=$S$4,S43,T43)</f>
        <v>0</v>
      </c>
      <c r="AE43" s="90"/>
      <c r="AF43" s="96"/>
    </row>
    <row r="44" spans="1:32" s="192" customFormat="1" ht="13.5" customHeight="1" thickBot="1" x14ac:dyDescent="0.25">
      <c r="A44" s="467" t="s">
        <v>63</v>
      </c>
      <c r="B44" s="162"/>
      <c r="C44" s="126" t="s">
        <v>192</v>
      </c>
      <c r="D44" s="172">
        <f>Eingabe_2!G111</f>
        <v>0</v>
      </c>
      <c r="E44" s="74" t="s">
        <v>29</v>
      </c>
      <c r="F44" s="276"/>
      <c r="G44" s="276" t="str">
        <f>Eingabe_2!G112</f>
        <v>eigene KA</v>
      </c>
      <c r="H44" s="165">
        <f>Eingabe_2!G113</f>
        <v>0</v>
      </c>
      <c r="I44" s="74" t="str">
        <f>IF(G44=C102,"EW","")</f>
        <v/>
      </c>
      <c r="J44" s="596">
        <f t="shared" si="17"/>
        <v>0</v>
      </c>
      <c r="K44" s="165">
        <f>J44*D44</f>
        <v>0</v>
      </c>
      <c r="L44" s="169">
        <f>Eingabe_2!G114</f>
        <v>0</v>
      </c>
      <c r="M44" s="168" t="str">
        <f>Eingabe_2!G115</f>
        <v>Richtwert</v>
      </c>
      <c r="N44" s="525">
        <f>Eingabe_2!G116</f>
        <v>1</v>
      </c>
      <c r="O44" s="168"/>
      <c r="P44" s="170">
        <f t="shared" si="18"/>
        <v>0</v>
      </c>
      <c r="Q44" s="165">
        <f t="shared" si="18"/>
        <v>0</v>
      </c>
      <c r="R44" s="608">
        <f t="shared" ref="R44:R45" si="20">IF(G44=C$102,IF(H44&gt;10000,1.4*39.703*H44^-0.079,1.4*491*H44^-0.353),IF(D44&gt;0,IF(D44&gt;10000,1.4*39.703*D44^-0.079,1.4*491*D44^-0.353),0))</f>
        <v>0</v>
      </c>
      <c r="S44" s="165">
        <f>R44*D44</f>
        <v>0</v>
      </c>
      <c r="T44" s="169">
        <f>Eingabe_2!G117</f>
        <v>0</v>
      </c>
      <c r="U44" s="168" t="str">
        <f>Eingabe_2!G118</f>
        <v>Richtwert</v>
      </c>
      <c r="V44" s="539"/>
      <c r="AC44" s="89">
        <f t="shared" ref="AC44:AC48" si="21">IF(M44=K$4,K44*N44,L44*N44)</f>
        <v>0</v>
      </c>
      <c r="AD44" s="90">
        <f t="shared" si="19"/>
        <v>0</v>
      </c>
      <c r="AE44" s="90"/>
      <c r="AF44" s="96"/>
    </row>
    <row r="45" spans="1:32" s="192" customFormat="1" ht="13.5" customHeight="1" thickBot="1" x14ac:dyDescent="0.25">
      <c r="A45" s="467" t="s">
        <v>63</v>
      </c>
      <c r="B45" s="162"/>
      <c r="C45" s="126" t="s">
        <v>193</v>
      </c>
      <c r="D45" s="172">
        <f>Eingabe_2!G121</f>
        <v>0</v>
      </c>
      <c r="E45" s="74" t="s">
        <v>29</v>
      </c>
      <c r="F45" s="276"/>
      <c r="G45" s="276" t="str">
        <f>Eingabe_2!G122</f>
        <v>eigene KA</v>
      </c>
      <c r="H45" s="165">
        <f>Eingabe_2!G123</f>
        <v>0</v>
      </c>
      <c r="I45" s="74" t="str">
        <f>IF(G45=C102,"EW","")</f>
        <v/>
      </c>
      <c r="J45" s="596">
        <f>IF(G45=C$102,11183*H45^-0.261*1.45,IF(D45&gt;0,11183*D45^-0.261*1.45,0))</f>
        <v>0</v>
      </c>
      <c r="K45" s="165">
        <f>J45*D45</f>
        <v>0</v>
      </c>
      <c r="L45" s="169">
        <f>Eingabe_2!G124</f>
        <v>0</v>
      </c>
      <c r="M45" s="168" t="str">
        <f>Eingabe_2!G125</f>
        <v>Richtwert</v>
      </c>
      <c r="N45" s="525">
        <f>Eingabe_2!G126</f>
        <v>1</v>
      </c>
      <c r="O45" s="168"/>
      <c r="P45" s="170">
        <f t="shared" si="18"/>
        <v>0</v>
      </c>
      <c r="Q45" s="165">
        <f t="shared" si="18"/>
        <v>0</v>
      </c>
      <c r="R45" s="608">
        <f t="shared" si="20"/>
        <v>0</v>
      </c>
      <c r="S45" s="165">
        <f>R45*D45</f>
        <v>0</v>
      </c>
      <c r="T45" s="169">
        <f>Eingabe_2!G127</f>
        <v>0</v>
      </c>
      <c r="U45" s="168" t="str">
        <f>Eingabe_2!G128</f>
        <v>Richtwert</v>
      </c>
      <c r="V45" s="539"/>
      <c r="AC45" s="89">
        <f t="shared" si="21"/>
        <v>0</v>
      </c>
      <c r="AD45" s="90">
        <f t="shared" si="19"/>
        <v>0</v>
      </c>
      <c r="AE45" s="90"/>
      <c r="AF45" s="96"/>
    </row>
    <row r="46" spans="1:32" s="192" customFormat="1" ht="13.5" customHeight="1" x14ac:dyDescent="0.2">
      <c r="A46" s="467" t="s">
        <v>63</v>
      </c>
      <c r="B46" s="162"/>
      <c r="C46" s="420" t="s">
        <v>230</v>
      </c>
      <c r="D46" s="174">
        <f>Eingabe_2!G131</f>
        <v>0</v>
      </c>
      <c r="E46" s="74" t="s">
        <v>29</v>
      </c>
      <c r="F46" s="276"/>
      <c r="G46" s="276">
        <f>Eingabe_2!G132</f>
        <v>0</v>
      </c>
      <c r="H46" s="168" t="s">
        <v>128</v>
      </c>
      <c r="I46" s="74"/>
      <c r="J46" s="596">
        <f>IF(D46&gt;0,2802.7*D46^-0.244*1.48,0)</f>
        <v>0</v>
      </c>
      <c r="K46" s="165">
        <f>D46*J46*G46</f>
        <v>0</v>
      </c>
      <c r="L46" s="340">
        <f>Eingabe_2!G133*G46</f>
        <v>0</v>
      </c>
      <c r="M46" s="168" t="str">
        <f>Eingabe_2!G134</f>
        <v>Richtwert</v>
      </c>
      <c r="N46" s="525">
        <f>Eingabe_2!G135</f>
        <v>1</v>
      </c>
      <c r="O46" s="168"/>
      <c r="P46" s="170">
        <f t="shared" si="18"/>
        <v>0</v>
      </c>
      <c r="Q46" s="165">
        <f t="shared" si="18"/>
        <v>0</v>
      </c>
      <c r="R46" s="170">
        <f>IF(D46&gt;0,D46*186.89*D46^(-0.047),0)</f>
        <v>0</v>
      </c>
      <c r="S46" s="165">
        <f>R46*G46</f>
        <v>0</v>
      </c>
      <c r="T46" s="340">
        <f>Eingabe_2!G136*G46</f>
        <v>0</v>
      </c>
      <c r="U46" s="168" t="str">
        <f>Eingabe_2!G137</f>
        <v>Richtwert</v>
      </c>
      <c r="V46" s="539" t="str">
        <f>Eingabe_2!G138</f>
        <v>Dauerhaft</v>
      </c>
      <c r="AC46" s="89">
        <f t="shared" si="21"/>
        <v>0</v>
      </c>
      <c r="AD46" s="578">
        <f>IF(V46="Dauerhaft",IF((U46=$S$4),S46,T46),0)</f>
        <v>0</v>
      </c>
      <c r="AE46" s="578">
        <f>IF(V46="15 Jahre",IF((U46=$S$4),S46,T46),0)</f>
        <v>0</v>
      </c>
      <c r="AF46" s="96"/>
    </row>
    <row r="47" spans="1:32" s="192" customFormat="1" ht="13.5" customHeight="1" x14ac:dyDescent="0.2">
      <c r="A47" s="467" t="s">
        <v>63</v>
      </c>
      <c r="B47" s="162"/>
      <c r="C47" s="420" t="s">
        <v>231</v>
      </c>
      <c r="D47" s="174">
        <f>Eingabe_2!G140</f>
        <v>0</v>
      </c>
      <c r="E47" s="74" t="s">
        <v>29</v>
      </c>
      <c r="F47" s="276"/>
      <c r="G47" s="276">
        <f>Eingabe_2!G141</f>
        <v>0</v>
      </c>
      <c r="H47" s="168" t="s">
        <v>128</v>
      </c>
      <c r="I47" s="74"/>
      <c r="J47" s="596">
        <f t="shared" ref="J47:J48" si="22">IF(D47&gt;0,2802.7*D47^-0.244*1.48,0)</f>
        <v>0</v>
      </c>
      <c r="K47" s="165">
        <f>D47*J47*G47</f>
        <v>0</v>
      </c>
      <c r="L47" s="340">
        <f>Eingabe_2!G142*G47</f>
        <v>0</v>
      </c>
      <c r="M47" s="168" t="str">
        <f>Eingabe_2!G143</f>
        <v>Richtwert</v>
      </c>
      <c r="N47" s="525">
        <f>Eingabe_2!G144</f>
        <v>1</v>
      </c>
      <c r="O47" s="168"/>
      <c r="P47" s="170">
        <f t="shared" si="18"/>
        <v>0</v>
      </c>
      <c r="Q47" s="165">
        <f t="shared" si="18"/>
        <v>0</v>
      </c>
      <c r="R47" s="170">
        <f t="shared" ref="R47:R48" si="23">IF(D47&gt;0,D47*186.89*D47^(-0.047),0)</f>
        <v>0</v>
      </c>
      <c r="S47" s="165">
        <f>R47*G47</f>
        <v>0</v>
      </c>
      <c r="T47" s="340">
        <f>Eingabe_2!G145*G47</f>
        <v>0</v>
      </c>
      <c r="U47" s="168" t="str">
        <f>Eingabe_2!G146</f>
        <v>Richtwert</v>
      </c>
      <c r="V47" s="539" t="str">
        <f>Eingabe_2!G147</f>
        <v>Dauerhaft</v>
      </c>
      <c r="AC47" s="89">
        <f t="shared" si="21"/>
        <v>0</v>
      </c>
      <c r="AD47" s="578">
        <f t="shared" ref="AD47:AD48" si="24">IF(V47="Dauerhaft",IF((U47=$S$4),S47,T47),0)</f>
        <v>0</v>
      </c>
      <c r="AE47" s="578">
        <f t="shared" ref="AE47:AE48" si="25">IF(V47="15 Jahre",IF((U47=$S$4),S47,T47),0)</f>
        <v>0</v>
      </c>
      <c r="AF47" s="96"/>
    </row>
    <row r="48" spans="1:32" s="192" customFormat="1" ht="13.5" customHeight="1" x14ac:dyDescent="0.2">
      <c r="A48" s="467" t="s">
        <v>63</v>
      </c>
      <c r="B48" s="162"/>
      <c r="C48" s="420" t="s">
        <v>232</v>
      </c>
      <c r="D48" s="174">
        <f>Eingabe_2!G149</f>
        <v>0</v>
      </c>
      <c r="E48" s="74" t="s">
        <v>29</v>
      </c>
      <c r="F48" s="74"/>
      <c r="G48" s="276">
        <f>Eingabe_2!G150</f>
        <v>0</v>
      </c>
      <c r="H48" s="168" t="s">
        <v>128</v>
      </c>
      <c r="I48" s="74"/>
      <c r="J48" s="596">
        <f t="shared" si="22"/>
        <v>0</v>
      </c>
      <c r="K48" s="165">
        <f>D48*J48*G48</f>
        <v>0</v>
      </c>
      <c r="L48" s="175">
        <f>Eingabe_2!G151*G48</f>
        <v>0</v>
      </c>
      <c r="M48" s="168" t="str">
        <f>Eingabe_2!G152</f>
        <v>Richtwert</v>
      </c>
      <c r="N48" s="525">
        <f>Eingabe_2!G153</f>
        <v>1</v>
      </c>
      <c r="O48" s="168"/>
      <c r="P48" s="194">
        <f t="shared" si="18"/>
        <v>0</v>
      </c>
      <c r="Q48" s="165">
        <f t="shared" si="18"/>
        <v>0</v>
      </c>
      <c r="R48" s="170">
        <f t="shared" si="23"/>
        <v>0</v>
      </c>
      <c r="S48" s="165">
        <f>R48*G48</f>
        <v>0</v>
      </c>
      <c r="T48" s="175">
        <f>Eingabe_2!G154*G48</f>
        <v>0</v>
      </c>
      <c r="U48" s="168" t="str">
        <f>Eingabe_2!G155</f>
        <v>Richtwert</v>
      </c>
      <c r="V48" s="539" t="str">
        <f>Eingabe_2!G156</f>
        <v>Dauerhaft</v>
      </c>
      <c r="AC48" s="89">
        <f t="shared" si="21"/>
        <v>0</v>
      </c>
      <c r="AD48" s="578">
        <f t="shared" si="24"/>
        <v>0</v>
      </c>
      <c r="AE48" s="578">
        <f t="shared" si="25"/>
        <v>0</v>
      </c>
      <c r="AF48" s="96"/>
    </row>
    <row r="49" spans="1:32" s="192" customFormat="1" ht="13.5" customHeight="1" x14ac:dyDescent="0.2">
      <c r="A49" s="467" t="s">
        <v>63</v>
      </c>
      <c r="B49" s="162"/>
      <c r="C49" s="127" t="s">
        <v>265</v>
      </c>
      <c r="D49" s="74"/>
      <c r="E49" s="74"/>
      <c r="F49" s="74"/>
      <c r="G49" s="126"/>
      <c r="H49" s="74"/>
      <c r="I49" s="74"/>
      <c r="J49" s="165"/>
      <c r="K49" s="477">
        <f>SUM(K43:K48)</f>
        <v>0</v>
      </c>
      <c r="L49" s="478">
        <f>SUM(L43:L48)</f>
        <v>0</v>
      </c>
      <c r="M49" s="477">
        <f>AC49</f>
        <v>0</v>
      </c>
      <c r="N49" s="204"/>
      <c r="O49" s="204"/>
      <c r="P49" s="480">
        <f>SUM(P43:P48)</f>
        <v>0</v>
      </c>
      <c r="Q49" s="555">
        <f>SUM(Q43:Q48)</f>
        <v>0</v>
      </c>
      <c r="R49" s="170"/>
      <c r="S49" s="477">
        <f>SUM(S43:S45)+SUMIF(V46:V48,"Dauerhaft",S46:S48)</f>
        <v>0</v>
      </c>
      <c r="T49" s="478">
        <f>SUM(T43:T48)</f>
        <v>0</v>
      </c>
      <c r="U49" s="477">
        <f>AD49</f>
        <v>0</v>
      </c>
      <c r="V49" s="540"/>
      <c r="AC49" s="93">
        <f>SUM(AC43:AC48)</f>
        <v>0</v>
      </c>
      <c r="AD49" s="94">
        <f>SUM(AD43:AD48)</f>
        <v>0</v>
      </c>
      <c r="AE49" s="94"/>
      <c r="AF49" s="96"/>
    </row>
    <row r="50" spans="1:32" s="192" customFormat="1" ht="13.5" customHeight="1" x14ac:dyDescent="0.2">
      <c r="A50" s="467"/>
      <c r="B50" s="162"/>
      <c r="C50" s="558" t="s">
        <v>266</v>
      </c>
      <c r="D50" s="74"/>
      <c r="E50" s="74"/>
      <c r="F50" s="74"/>
      <c r="G50" s="126"/>
      <c r="H50" s="74"/>
      <c r="I50" s="74"/>
      <c r="J50" s="165"/>
      <c r="K50" s="204"/>
      <c r="L50" s="213"/>
      <c r="M50" s="204"/>
      <c r="N50" s="204"/>
      <c r="O50" s="204"/>
      <c r="P50" s="170"/>
      <c r="Q50" s="165"/>
      <c r="R50" s="170"/>
      <c r="S50" s="560">
        <f>SUMIF(V46:V48,"15 Jahre",S46:S48)</f>
        <v>0</v>
      </c>
      <c r="T50" s="560"/>
      <c r="U50" s="560">
        <f>AE50</f>
        <v>0</v>
      </c>
      <c r="V50" s="540"/>
      <c r="AC50" s="93"/>
      <c r="AD50" s="94"/>
      <c r="AE50" s="563">
        <f>SUM(AE46:AE48)</f>
        <v>0</v>
      </c>
      <c r="AF50" s="96"/>
    </row>
    <row r="51" spans="1:32" s="192" customFormat="1" ht="13.5" customHeight="1" x14ac:dyDescent="0.2">
      <c r="A51" s="467"/>
      <c r="B51" s="152">
        <v>6</v>
      </c>
      <c r="C51" s="185" t="s">
        <v>251</v>
      </c>
      <c r="D51" s="153"/>
      <c r="E51" s="153"/>
      <c r="F51" s="153"/>
      <c r="G51" s="155"/>
      <c r="H51" s="153"/>
      <c r="I51" s="153"/>
      <c r="J51" s="201"/>
      <c r="K51" s="375"/>
      <c r="L51" s="376"/>
      <c r="M51" s="375"/>
      <c r="N51" s="375"/>
      <c r="O51" s="377"/>
      <c r="P51" s="158"/>
      <c r="Q51" s="159"/>
      <c r="R51" s="158"/>
      <c r="S51" s="375"/>
      <c r="T51" s="376"/>
      <c r="U51" s="375"/>
      <c r="V51" s="540"/>
      <c r="AC51" s="93"/>
      <c r="AD51" s="94"/>
      <c r="AE51" s="94"/>
      <c r="AF51" s="96"/>
    </row>
    <row r="52" spans="1:32" s="192" customFormat="1" ht="13.5" customHeight="1" x14ac:dyDescent="0.2">
      <c r="A52" s="467"/>
      <c r="B52" s="483"/>
      <c r="C52" s="420" t="s">
        <v>248</v>
      </c>
      <c r="D52" s="464"/>
      <c r="E52" s="464"/>
      <c r="F52" s="464"/>
      <c r="G52" s="420"/>
      <c r="H52" s="464"/>
      <c r="I52" s="464"/>
      <c r="J52" s="165"/>
      <c r="K52" s="165"/>
      <c r="L52" s="169">
        <f>Eingabe_2!G159</f>
        <v>0</v>
      </c>
      <c r="M52" s="165"/>
      <c r="N52" s="165"/>
      <c r="O52" s="173"/>
      <c r="P52" s="170"/>
      <c r="Q52" s="173"/>
      <c r="R52" s="170"/>
      <c r="S52" s="165"/>
      <c r="T52" s="186"/>
      <c r="U52" s="165"/>
      <c r="V52" s="542"/>
      <c r="AC52" s="89">
        <f t="shared" ref="AC52:AC54" si="26">IF(M52=K$4,K52,L52)</f>
        <v>0</v>
      </c>
      <c r="AD52" s="90">
        <f t="shared" ref="AD52:AD54" si="27">IF(U52=$S$4,S52,T52)</f>
        <v>0</v>
      </c>
      <c r="AE52" s="90"/>
      <c r="AF52" s="96"/>
    </row>
    <row r="53" spans="1:32" s="192" customFormat="1" ht="13.5" customHeight="1" x14ac:dyDescent="0.2">
      <c r="A53" s="467"/>
      <c r="B53" s="483"/>
      <c r="C53" s="420" t="s">
        <v>249</v>
      </c>
      <c r="D53" s="464"/>
      <c r="E53" s="464"/>
      <c r="F53" s="464"/>
      <c r="G53" s="420"/>
      <c r="H53" s="464"/>
      <c r="I53" s="464"/>
      <c r="J53" s="165"/>
      <c r="K53" s="165"/>
      <c r="L53" s="169">
        <f>Eingabe_2!G160</f>
        <v>0</v>
      </c>
      <c r="M53" s="165"/>
      <c r="N53" s="165"/>
      <c r="O53" s="173"/>
      <c r="P53" s="170"/>
      <c r="Q53" s="173"/>
      <c r="R53" s="170"/>
      <c r="S53" s="165"/>
      <c r="T53" s="186"/>
      <c r="U53" s="165"/>
      <c r="V53" s="542"/>
      <c r="AC53" s="89">
        <f t="shared" si="26"/>
        <v>0</v>
      </c>
      <c r="AD53" s="90">
        <f t="shared" si="27"/>
        <v>0</v>
      </c>
      <c r="AE53" s="90"/>
      <c r="AF53" s="96"/>
    </row>
    <row r="54" spans="1:32" s="192" customFormat="1" ht="13.5" customHeight="1" x14ac:dyDescent="0.2">
      <c r="A54" s="467"/>
      <c r="B54" s="483"/>
      <c r="C54" s="420" t="s">
        <v>250</v>
      </c>
      <c r="D54" s="464"/>
      <c r="E54" s="464"/>
      <c r="F54" s="464"/>
      <c r="G54" s="420"/>
      <c r="H54" s="464"/>
      <c r="I54" s="464"/>
      <c r="J54" s="165"/>
      <c r="K54" s="165"/>
      <c r="L54" s="169">
        <f>Eingabe_2!G161</f>
        <v>0</v>
      </c>
      <c r="M54" s="165"/>
      <c r="N54" s="165"/>
      <c r="O54" s="173"/>
      <c r="P54" s="170"/>
      <c r="Q54" s="173"/>
      <c r="R54" s="170"/>
      <c r="S54" s="165"/>
      <c r="T54" s="186"/>
      <c r="U54" s="165"/>
      <c r="V54" s="542"/>
      <c r="AC54" s="89">
        <f t="shared" si="26"/>
        <v>0</v>
      </c>
      <c r="AD54" s="90">
        <f t="shared" si="27"/>
        <v>0</v>
      </c>
      <c r="AE54" s="90"/>
      <c r="AF54" s="96"/>
    </row>
    <row r="55" spans="1:32" s="192" customFormat="1" ht="13.5" customHeight="1" thickBot="1" x14ac:dyDescent="0.25">
      <c r="A55" s="467"/>
      <c r="B55" s="176"/>
      <c r="C55" s="177" t="s">
        <v>26</v>
      </c>
      <c r="D55" s="178"/>
      <c r="E55" s="178"/>
      <c r="F55" s="178"/>
      <c r="G55" s="195"/>
      <c r="H55" s="178"/>
      <c r="I55" s="178"/>
      <c r="J55" s="151"/>
      <c r="K55" s="196">
        <f>SUM(K52:K54)</f>
        <v>0</v>
      </c>
      <c r="L55" s="488">
        <f>SUM(L52:L54)</f>
        <v>0</v>
      </c>
      <c r="M55" s="485">
        <f>AC55</f>
        <v>0</v>
      </c>
      <c r="N55" s="182"/>
      <c r="O55" s="182"/>
      <c r="P55" s="197">
        <f>SUM(P48:P54)</f>
        <v>0</v>
      </c>
      <c r="Q55" s="486">
        <f>SUM(Q48:Q54)</f>
        <v>0</v>
      </c>
      <c r="R55" s="150"/>
      <c r="S55" s="487"/>
      <c r="T55" s="488"/>
      <c r="U55" s="533"/>
      <c r="V55" s="543"/>
      <c r="AC55" s="97">
        <f>SUM(AC52:AC54)</f>
        <v>0</v>
      </c>
      <c r="AD55" s="98">
        <f>SUM(AD52:AD54)</f>
        <v>0</v>
      </c>
      <c r="AE55" s="98"/>
      <c r="AF55" s="99"/>
    </row>
    <row r="56" spans="1:32" ht="13.5" customHeight="1" x14ac:dyDescent="0.2">
      <c r="A56" s="467" t="s">
        <v>63</v>
      </c>
      <c r="B56" s="162"/>
      <c r="J56" s="165"/>
      <c r="K56" s="165"/>
      <c r="L56" s="326"/>
      <c r="M56" s="165"/>
      <c r="N56" s="165"/>
      <c r="O56" s="165"/>
      <c r="P56" s="170"/>
      <c r="Q56" s="173"/>
      <c r="R56" s="165"/>
      <c r="S56" s="165"/>
      <c r="T56" s="186"/>
      <c r="U56" s="165"/>
      <c r="V56" s="554"/>
    </row>
    <row r="57" spans="1:32" ht="13.5" customHeight="1" x14ac:dyDescent="0.2">
      <c r="A57" s="467" t="s">
        <v>63</v>
      </c>
      <c r="B57" s="162"/>
      <c r="C57" s="203" t="s">
        <v>30</v>
      </c>
      <c r="D57" s="174"/>
      <c r="G57" s="127"/>
      <c r="J57" s="165"/>
      <c r="K57" s="204">
        <f>K11+K25+K35+K41+K49</f>
        <v>0</v>
      </c>
      <c r="L57" s="205">
        <f>L11+L25+L35+L41+L49+L55</f>
        <v>0</v>
      </c>
      <c r="M57" s="204">
        <f>M11+M25+M35+M41+M49+M55</f>
        <v>0</v>
      </c>
      <c r="N57" s="204"/>
      <c r="O57" s="204"/>
      <c r="P57" s="206">
        <f>P11+P35+P41+P49</f>
        <v>0</v>
      </c>
      <c r="Q57" s="207">
        <f>Q11+Q35+Q41+Q49</f>
        <v>0</v>
      </c>
      <c r="R57" s="165"/>
      <c r="S57" s="204">
        <f>S11+S25+R35+S35+R41+S49</f>
        <v>0</v>
      </c>
      <c r="T57" s="205">
        <f>T11+T25+T35+T41+T49</f>
        <v>0</v>
      </c>
      <c r="U57" s="204">
        <f>U11+U25+U35+U41+U49</f>
        <v>0</v>
      </c>
      <c r="V57" s="540"/>
    </row>
    <row r="58" spans="1:32" ht="13.5" customHeight="1" x14ac:dyDescent="0.2">
      <c r="A58" s="467"/>
      <c r="B58" s="162"/>
      <c r="C58" s="564" t="s">
        <v>267</v>
      </c>
      <c r="D58" s="174"/>
      <c r="G58" s="127"/>
      <c r="J58" s="165"/>
      <c r="K58" s="204"/>
      <c r="L58" s="213"/>
      <c r="M58" s="204"/>
      <c r="N58" s="204"/>
      <c r="O58" s="204"/>
      <c r="P58" s="206"/>
      <c r="Q58" s="207"/>
      <c r="R58" s="165"/>
      <c r="S58" s="204"/>
      <c r="T58" s="213"/>
      <c r="U58" s="560">
        <f>U50</f>
        <v>0</v>
      </c>
      <c r="V58" s="540"/>
    </row>
    <row r="59" spans="1:32" ht="13.5" customHeight="1" x14ac:dyDescent="0.2">
      <c r="B59" s="176"/>
      <c r="C59" s="208"/>
      <c r="D59" s="209"/>
      <c r="E59" s="178"/>
      <c r="F59" s="178"/>
      <c r="G59" s="177"/>
      <c r="H59" s="178"/>
      <c r="I59" s="178"/>
      <c r="J59" s="151"/>
      <c r="K59" s="182"/>
      <c r="L59" s="210"/>
      <c r="M59" s="182"/>
      <c r="N59" s="182"/>
      <c r="O59" s="182"/>
      <c r="P59" s="211"/>
      <c r="Q59" s="212"/>
      <c r="R59" s="151"/>
      <c r="S59" s="151"/>
      <c r="T59" s="210"/>
      <c r="U59" s="182"/>
      <c r="V59" s="543"/>
    </row>
    <row r="60" spans="1:32" ht="13.5" customHeight="1" x14ac:dyDescent="0.2">
      <c r="C60" s="203"/>
      <c r="D60" s="174"/>
      <c r="G60" s="127"/>
      <c r="J60" s="165"/>
      <c r="K60" s="204"/>
      <c r="L60" s="213"/>
      <c r="M60" s="204"/>
      <c r="N60" s="204"/>
      <c r="O60" s="204"/>
      <c r="P60" s="204"/>
      <c r="Q60" s="214"/>
      <c r="R60" s="165"/>
      <c r="S60" s="165"/>
      <c r="T60" s="165"/>
      <c r="U60" s="165"/>
      <c r="V60" s="544"/>
    </row>
    <row r="61" spans="1:32" ht="13.5" customHeight="1" x14ac:dyDescent="0.2">
      <c r="C61" s="203"/>
      <c r="D61" s="174"/>
      <c r="G61" s="127"/>
      <c r="J61" s="165"/>
      <c r="K61" s="204"/>
      <c r="L61" s="213"/>
      <c r="M61" s="204"/>
      <c r="N61" s="204"/>
      <c r="O61" s="204"/>
      <c r="P61" s="204"/>
      <c r="Q61" s="215"/>
      <c r="R61" s="165"/>
      <c r="S61" s="165"/>
      <c r="T61" s="165"/>
      <c r="U61" s="165"/>
      <c r="V61" s="544"/>
    </row>
    <row r="62" spans="1:32" ht="13.5" customHeight="1" thickBot="1" x14ac:dyDescent="0.25">
      <c r="C62" s="125" t="s">
        <v>31</v>
      </c>
      <c r="D62" s="216">
        <f>Eingabe_2!G166</f>
        <v>3</v>
      </c>
      <c r="E62" s="217" t="s">
        <v>10</v>
      </c>
      <c r="F62" s="218" t="s">
        <v>32</v>
      </c>
      <c r="H62" s="219"/>
      <c r="I62" s="219"/>
      <c r="K62" s="200"/>
      <c r="L62" s="220"/>
      <c r="M62" s="200"/>
      <c r="N62" s="200"/>
      <c r="O62" s="200"/>
      <c r="R62" s="221"/>
    </row>
    <row r="63" spans="1:32" ht="13.5" customHeight="1" x14ac:dyDescent="0.2">
      <c r="C63" s="74"/>
      <c r="D63" s="222">
        <f>Eingabe_2!G167</f>
        <v>2</v>
      </c>
      <c r="E63" s="217" t="s">
        <v>10</v>
      </c>
      <c r="F63" s="218" t="s">
        <v>33</v>
      </c>
      <c r="H63" s="219"/>
      <c r="I63" s="219"/>
      <c r="J63" s="74"/>
      <c r="K63" s="200"/>
      <c r="L63" s="220"/>
      <c r="M63" s="200"/>
      <c r="N63" s="200"/>
      <c r="O63" s="200"/>
    </row>
    <row r="64" spans="1:32" ht="13.5" customHeight="1" x14ac:dyDescent="0.2">
      <c r="C64" s="74"/>
      <c r="D64" s="222"/>
      <c r="E64" s="217"/>
      <c r="F64" s="217"/>
      <c r="G64" s="218"/>
      <c r="H64" s="219"/>
      <c r="I64" s="219"/>
      <c r="J64" s="223" t="s">
        <v>34</v>
      </c>
      <c r="K64" s="200"/>
      <c r="L64" s="220"/>
      <c r="M64" s="200"/>
      <c r="N64" s="200"/>
      <c r="O64" s="200"/>
      <c r="P64" s="224"/>
      <c r="W64" s="225" t="s">
        <v>35</v>
      </c>
    </row>
    <row r="65" spans="2:23" ht="13.5" customHeight="1" x14ac:dyDescent="0.2">
      <c r="B65" s="226"/>
      <c r="C65" s="227" t="s">
        <v>36</v>
      </c>
      <c r="D65" s="228"/>
      <c r="E65" s="228"/>
      <c r="F65" s="228"/>
      <c r="G65" s="227"/>
      <c r="H65" s="228"/>
      <c r="I65" s="228"/>
      <c r="J65" s="279"/>
      <c r="K65" s="228"/>
      <c r="L65" s="231"/>
      <c r="M65" s="231">
        <f>M57</f>
        <v>0</v>
      </c>
      <c r="N65" s="231"/>
      <c r="O65" s="231"/>
      <c r="P65" s="232"/>
      <c r="Q65" s="233"/>
      <c r="R65" s="230"/>
      <c r="S65" s="234"/>
      <c r="T65" s="235"/>
      <c r="U65" s="235"/>
      <c r="V65" s="545"/>
      <c r="W65" s="236">
        <f>M65</f>
        <v>0</v>
      </c>
    </row>
    <row r="66" spans="2:23" ht="13.5" customHeight="1" x14ac:dyDescent="0.2">
      <c r="B66" s="226"/>
      <c r="C66" s="237" t="s">
        <v>37</v>
      </c>
      <c r="D66" s="238">
        <v>12.5</v>
      </c>
      <c r="E66" s="239" t="s">
        <v>38</v>
      </c>
      <c r="F66" s="239"/>
      <c r="G66" s="227"/>
      <c r="H66" s="228"/>
      <c r="I66" s="228"/>
      <c r="J66" s="240">
        <f>1/(1+D62/100)^D66</f>
        <v>0.69109013106950024</v>
      </c>
      <c r="K66" s="241"/>
      <c r="L66" s="242"/>
      <c r="M66" s="231"/>
      <c r="N66" s="231"/>
      <c r="O66" s="231"/>
      <c r="P66" s="243"/>
      <c r="Q66" s="244">
        <f>Q57</f>
        <v>0</v>
      </c>
      <c r="R66" s="230"/>
      <c r="S66" s="234"/>
      <c r="T66" s="235"/>
      <c r="U66" s="235"/>
      <c r="V66" s="545"/>
      <c r="W66" s="244">
        <f>(P66+Q66)*J66</f>
        <v>0</v>
      </c>
    </row>
    <row r="67" spans="2:23" ht="13.5" customHeight="1" x14ac:dyDescent="0.2">
      <c r="B67" s="226"/>
      <c r="C67" s="237" t="s">
        <v>37</v>
      </c>
      <c r="D67" s="238">
        <v>26</v>
      </c>
      <c r="E67" s="239" t="s">
        <v>38</v>
      </c>
      <c r="F67" s="239"/>
      <c r="G67" s="227"/>
      <c r="H67" s="228"/>
      <c r="I67" s="228"/>
      <c r="J67" s="240">
        <f>1/(1+D62/100)^D67</f>
        <v>0.46369472743850448</v>
      </c>
      <c r="K67" s="231"/>
      <c r="L67" s="242"/>
      <c r="M67" s="231"/>
      <c r="N67" s="231"/>
      <c r="O67" s="231"/>
      <c r="P67" s="245">
        <f>P57</f>
        <v>0</v>
      </c>
      <c r="Q67" s="244">
        <f>Q57</f>
        <v>0</v>
      </c>
      <c r="R67" s="230"/>
      <c r="S67" s="234"/>
      <c r="T67" s="235"/>
      <c r="U67" s="235"/>
      <c r="V67" s="545"/>
      <c r="W67" s="244">
        <f>(P67+Q67)*J67</f>
        <v>0</v>
      </c>
    </row>
    <row r="68" spans="2:23" ht="13.5" customHeight="1" x14ac:dyDescent="0.2">
      <c r="B68" s="226"/>
      <c r="C68" s="237" t="s">
        <v>37</v>
      </c>
      <c r="D68" s="238">
        <v>37.5</v>
      </c>
      <c r="E68" s="239" t="s">
        <v>38</v>
      </c>
      <c r="F68" s="239"/>
      <c r="G68" s="227"/>
      <c r="H68" s="228"/>
      <c r="I68" s="228"/>
      <c r="J68" s="240">
        <f>1/(1+D62/100)^D68</f>
        <v>0.33006849546056333</v>
      </c>
      <c r="K68" s="235"/>
      <c r="L68" s="242"/>
      <c r="M68" s="235"/>
      <c r="N68" s="235"/>
      <c r="O68" s="235"/>
      <c r="P68" s="243"/>
      <c r="Q68" s="234">
        <f>Q57</f>
        <v>0</v>
      </c>
      <c r="R68" s="230"/>
      <c r="S68" s="159"/>
      <c r="T68" s="235"/>
      <c r="U68" s="235"/>
      <c r="V68" s="545"/>
      <c r="W68" s="244">
        <f>(P68+Q68)*J68</f>
        <v>0</v>
      </c>
    </row>
    <row r="69" spans="2:23" s="536" customFormat="1" ht="13.5" customHeight="1" x14ac:dyDescent="0.2">
      <c r="B69" s="566"/>
      <c r="C69" s="567" t="s">
        <v>268</v>
      </c>
      <c r="D69" s="568">
        <v>15</v>
      </c>
      <c r="E69" s="569" t="s">
        <v>38</v>
      </c>
      <c r="F69" s="569"/>
      <c r="G69" s="570"/>
      <c r="H69" s="571"/>
      <c r="I69" s="571"/>
      <c r="J69" s="581">
        <f>IF(D$62=D$63,D69,(1+D$63/100)*(((1+D$62/100)^D69-(1+D$63/100)^D69)/((1+D$62/100)^D69*(D$62/100-D$63/100))))</f>
        <v>13.886109397216375</v>
      </c>
      <c r="K69" s="572"/>
      <c r="L69" s="573"/>
      <c r="M69" s="573"/>
      <c r="N69" s="573"/>
      <c r="O69" s="573"/>
      <c r="P69" s="574"/>
      <c r="Q69" s="545"/>
      <c r="R69" s="575"/>
      <c r="S69" s="554"/>
      <c r="T69" s="573"/>
      <c r="U69" s="573">
        <f>U58</f>
        <v>0</v>
      </c>
      <c r="V69" s="545"/>
      <c r="W69" s="545">
        <f>U69*J69</f>
        <v>0</v>
      </c>
    </row>
    <row r="70" spans="2:23" s="258" customFormat="1" ht="13.5" customHeight="1" x14ac:dyDescent="0.2">
      <c r="B70" s="246"/>
      <c r="C70" s="247" t="s">
        <v>39</v>
      </c>
      <c r="D70" s="248">
        <v>25</v>
      </c>
      <c r="E70" s="249" t="s">
        <v>38</v>
      </c>
      <c r="F70" s="249"/>
      <c r="G70" s="250"/>
      <c r="H70" s="251"/>
      <c r="I70" s="251"/>
      <c r="J70" s="252">
        <f>IF(D$62=D$63,D70,(1+D$63/100)*(((1+D$62/100)^D70-(1+D$63/100)^D70)/((1+D$62/100)^D70*(D$62/100-D$63/100))))</f>
        <v>22.076618888117327</v>
      </c>
      <c r="K70" s="253"/>
      <c r="L70" s="254"/>
      <c r="M70" s="254"/>
      <c r="N70" s="254"/>
      <c r="O70" s="254"/>
      <c r="P70" s="255"/>
      <c r="Q70" s="256"/>
      <c r="R70" s="257"/>
      <c r="S70" s="256"/>
      <c r="T70" s="254"/>
      <c r="U70" s="254">
        <f>U57</f>
        <v>0</v>
      </c>
      <c r="V70" s="545"/>
      <c r="W70" s="256">
        <f>U70*J70</f>
        <v>0</v>
      </c>
    </row>
    <row r="71" spans="2:23" ht="13.5" customHeight="1" x14ac:dyDescent="0.2">
      <c r="B71" s="226"/>
      <c r="C71" s="259" t="s">
        <v>39</v>
      </c>
      <c r="D71" s="238">
        <v>50</v>
      </c>
      <c r="E71" s="239" t="s">
        <v>38</v>
      </c>
      <c r="F71" s="239"/>
      <c r="G71" s="227"/>
      <c r="H71" s="228"/>
      <c r="I71" s="228"/>
      <c r="J71" s="260">
        <f>IF(D62=D63,D71,(1+D63/100)*(((1+D62/100)^D71-(1+D63/100)^D71)/((1+D62/100)^D71*(D62/100-D63/100))))</f>
        <v>39.375030898477981</v>
      </c>
      <c r="K71" s="235"/>
      <c r="L71" s="242"/>
      <c r="M71" s="235"/>
      <c r="N71" s="235"/>
      <c r="O71" s="235"/>
      <c r="P71" s="243"/>
      <c r="Q71" s="234"/>
      <c r="R71" s="230"/>
      <c r="S71" s="228"/>
      <c r="T71" s="235"/>
      <c r="U71" s="235">
        <f>U57</f>
        <v>0</v>
      </c>
      <c r="V71" s="545"/>
      <c r="W71" s="234">
        <f>U71*J71</f>
        <v>0</v>
      </c>
    </row>
    <row r="72" spans="2:23" s="258" customFormat="1" ht="28.5" customHeight="1" x14ac:dyDescent="0.2">
      <c r="B72" s="261"/>
      <c r="C72" s="262" t="s">
        <v>40</v>
      </c>
      <c r="D72" s="263">
        <v>25</v>
      </c>
      <c r="E72" s="264" t="s">
        <v>38</v>
      </c>
      <c r="F72" s="249"/>
      <c r="G72" s="250"/>
      <c r="H72" s="251"/>
      <c r="I72" s="251"/>
      <c r="J72" s="254"/>
      <c r="K72" s="254"/>
      <c r="L72" s="254"/>
      <c r="M72" s="254"/>
      <c r="N72" s="254"/>
      <c r="O72" s="254"/>
      <c r="P72" s="254"/>
      <c r="Q72" s="254"/>
      <c r="R72" s="251"/>
      <c r="S72" s="251"/>
      <c r="T72" s="251"/>
      <c r="U72" s="251"/>
      <c r="V72" s="546"/>
      <c r="W72" s="266">
        <f>W65+W66+W69+W70</f>
        <v>0</v>
      </c>
    </row>
    <row r="73" spans="2:23" ht="28.5" customHeight="1" x14ac:dyDescent="0.2">
      <c r="B73" s="267"/>
      <c r="C73" s="268" t="s">
        <v>40</v>
      </c>
      <c r="D73" s="269">
        <f>D71</f>
        <v>50</v>
      </c>
      <c r="E73" s="270" t="s">
        <v>38</v>
      </c>
      <c r="F73" s="239"/>
      <c r="G73" s="227"/>
      <c r="H73" s="228"/>
      <c r="I73" s="228"/>
      <c r="J73" s="235"/>
      <c r="K73" s="235"/>
      <c r="L73" s="242"/>
      <c r="M73" s="235"/>
      <c r="N73" s="235"/>
      <c r="O73" s="235"/>
      <c r="P73" s="235"/>
      <c r="Q73" s="235"/>
      <c r="R73" s="228"/>
      <c r="S73" s="228"/>
      <c r="T73" s="228"/>
      <c r="U73" s="228"/>
      <c r="V73" s="546"/>
      <c r="W73" s="271">
        <f>SUM(W65:W69)+W71</f>
        <v>0</v>
      </c>
    </row>
    <row r="74" spans="2:23" x14ac:dyDescent="0.2">
      <c r="J74" s="165"/>
      <c r="K74" s="165"/>
      <c r="L74" s="186"/>
      <c r="M74" s="165"/>
      <c r="N74" s="165"/>
      <c r="O74" s="165"/>
      <c r="P74" s="165"/>
      <c r="Q74" s="165"/>
      <c r="W74" s="165"/>
    </row>
    <row r="75" spans="2:23" x14ac:dyDescent="0.2">
      <c r="J75" s="165"/>
      <c r="K75" s="165"/>
      <c r="L75" s="186"/>
      <c r="M75" s="165"/>
      <c r="N75" s="165"/>
      <c r="O75" s="165"/>
      <c r="P75" s="165"/>
      <c r="Q75" s="165"/>
      <c r="W75" s="165"/>
    </row>
    <row r="76" spans="2:23" x14ac:dyDescent="0.2">
      <c r="J76" s="165"/>
      <c r="K76" s="165"/>
      <c r="L76" s="186"/>
      <c r="M76" s="165"/>
      <c r="N76" s="165"/>
      <c r="O76" s="165"/>
      <c r="P76" s="165"/>
      <c r="Q76" s="165"/>
      <c r="W76" s="165"/>
    </row>
    <row r="77" spans="2:23" x14ac:dyDescent="0.2">
      <c r="J77" s="165"/>
      <c r="K77" s="165"/>
      <c r="L77" s="186"/>
      <c r="M77" s="165"/>
      <c r="N77" s="165"/>
      <c r="O77" s="165"/>
      <c r="P77" s="165"/>
      <c r="Q77" s="165"/>
      <c r="W77" s="165"/>
    </row>
    <row r="78" spans="2:23" x14ac:dyDescent="0.2">
      <c r="J78" s="165"/>
      <c r="K78" s="165"/>
      <c r="L78" s="186"/>
      <c r="M78" s="165"/>
      <c r="N78" s="165"/>
      <c r="O78" s="165"/>
      <c r="P78" s="165"/>
      <c r="Q78" s="165"/>
      <c r="W78" s="165"/>
    </row>
    <row r="79" spans="2:23" x14ac:dyDescent="0.2">
      <c r="J79" s="165"/>
      <c r="K79" s="165"/>
      <c r="L79" s="186"/>
      <c r="M79" s="165"/>
      <c r="N79" s="165"/>
      <c r="O79" s="165"/>
      <c r="P79" s="165"/>
      <c r="Q79" s="165"/>
      <c r="W79" s="165"/>
    </row>
    <row r="80" spans="2:23" x14ac:dyDescent="0.2">
      <c r="J80" s="165"/>
      <c r="K80" s="165"/>
      <c r="L80" s="186"/>
      <c r="M80" s="165"/>
      <c r="N80" s="165"/>
      <c r="O80" s="165"/>
      <c r="P80" s="165"/>
      <c r="Q80" s="165"/>
      <c r="W80" s="165"/>
    </row>
    <row r="81" spans="3:23" x14ac:dyDescent="0.2">
      <c r="J81" s="165"/>
      <c r="K81" s="165"/>
      <c r="L81" s="186"/>
      <c r="M81" s="165"/>
      <c r="N81" s="165"/>
      <c r="O81" s="165"/>
      <c r="P81" s="165"/>
      <c r="Q81" s="165"/>
      <c r="W81" s="165"/>
    </row>
    <row r="82" spans="3:23" x14ac:dyDescent="0.2">
      <c r="J82" s="165"/>
      <c r="K82" s="165"/>
      <c r="L82" s="186"/>
      <c r="M82" s="165"/>
      <c r="N82" s="165"/>
      <c r="O82" s="165"/>
      <c r="P82" s="165"/>
      <c r="Q82" s="165"/>
      <c r="W82" s="165"/>
    </row>
    <row r="83" spans="3:23" x14ac:dyDescent="0.2">
      <c r="J83" s="165"/>
      <c r="K83" s="165"/>
      <c r="L83" s="186"/>
      <c r="M83" s="165"/>
      <c r="N83" s="165"/>
      <c r="O83" s="165"/>
      <c r="P83" s="165"/>
      <c r="Q83" s="165"/>
      <c r="W83" s="165"/>
    </row>
    <row r="84" spans="3:23" x14ac:dyDescent="0.2">
      <c r="J84" s="165"/>
      <c r="K84" s="165"/>
      <c r="L84" s="186"/>
      <c r="M84" s="165"/>
      <c r="N84" s="165"/>
      <c r="O84" s="165"/>
      <c r="P84" s="165"/>
      <c r="Q84" s="165"/>
      <c r="W84" s="165"/>
    </row>
    <row r="85" spans="3:23" x14ac:dyDescent="0.2">
      <c r="J85" s="165"/>
      <c r="K85" s="165"/>
      <c r="L85" s="186"/>
      <c r="M85" s="165"/>
      <c r="N85" s="165"/>
      <c r="O85" s="165"/>
      <c r="P85" s="165"/>
      <c r="Q85" s="165"/>
      <c r="W85" s="165"/>
    </row>
    <row r="86" spans="3:23" x14ac:dyDescent="0.2">
      <c r="J86" s="165"/>
      <c r="K86" s="165"/>
      <c r="L86" s="186"/>
      <c r="M86" s="165"/>
      <c r="N86" s="165"/>
      <c r="O86" s="165"/>
      <c r="P86" s="165"/>
      <c r="Q86" s="165"/>
      <c r="W86" s="165"/>
    </row>
    <row r="87" spans="3:23" x14ac:dyDescent="0.2">
      <c r="J87" s="165"/>
      <c r="K87" s="165"/>
      <c r="L87" s="186"/>
      <c r="M87" s="165"/>
      <c r="N87" s="165"/>
      <c r="O87" s="165"/>
      <c r="P87" s="165"/>
      <c r="Q87" s="165"/>
      <c r="W87" s="165"/>
    </row>
    <row r="88" spans="3:23" ht="13.5" thickBot="1" x14ac:dyDescent="0.25">
      <c r="J88" s="165"/>
      <c r="K88" s="165"/>
      <c r="L88" s="186"/>
      <c r="M88" s="165"/>
      <c r="N88" s="165"/>
      <c r="O88" s="165"/>
      <c r="P88" s="165"/>
      <c r="W88" s="165"/>
    </row>
    <row r="89" spans="3:23" x14ac:dyDescent="0.2">
      <c r="C89" s="70" t="s">
        <v>146</v>
      </c>
      <c r="D89" s="71"/>
      <c r="E89" s="71"/>
      <c r="F89" s="72"/>
    </row>
    <row r="90" spans="3:23" x14ac:dyDescent="0.2">
      <c r="C90" s="73"/>
      <c r="F90" s="75"/>
    </row>
    <row r="91" spans="3:23" x14ac:dyDescent="0.2">
      <c r="C91" s="76" t="s">
        <v>59</v>
      </c>
      <c r="F91" s="75"/>
    </row>
    <row r="92" spans="3:23" x14ac:dyDescent="0.2">
      <c r="C92" s="77" t="s">
        <v>60</v>
      </c>
      <c r="F92" s="75"/>
    </row>
    <row r="93" spans="3:23" x14ac:dyDescent="0.2">
      <c r="C93" s="73"/>
      <c r="F93" s="75"/>
    </row>
    <row r="94" spans="3:23" ht="14.25" x14ac:dyDescent="0.2">
      <c r="C94" s="78" t="s">
        <v>56</v>
      </c>
      <c r="F94" s="75"/>
    </row>
    <row r="95" spans="3:23" ht="14.25" x14ac:dyDescent="0.2">
      <c r="C95" s="79" t="s">
        <v>57</v>
      </c>
      <c r="F95" s="75"/>
    </row>
    <row r="96" spans="3:23" ht="14.25" x14ac:dyDescent="0.2">
      <c r="C96" s="80" t="s">
        <v>58</v>
      </c>
      <c r="F96" s="75"/>
    </row>
    <row r="97" spans="3:7" x14ac:dyDescent="0.2">
      <c r="C97" s="73"/>
      <c r="F97" s="75"/>
    </row>
    <row r="98" spans="3:7" x14ac:dyDescent="0.2">
      <c r="C98" s="81" t="s">
        <v>64</v>
      </c>
      <c r="F98" s="75"/>
    </row>
    <row r="99" spans="3:7" x14ac:dyDescent="0.2">
      <c r="C99" s="82" t="s">
        <v>68</v>
      </c>
      <c r="F99" s="75"/>
    </row>
    <row r="100" spans="3:7" x14ac:dyDescent="0.2">
      <c r="C100" s="73"/>
      <c r="F100" s="75"/>
    </row>
    <row r="101" spans="3:7" x14ac:dyDescent="0.2">
      <c r="C101" s="76" t="s">
        <v>74</v>
      </c>
      <c r="F101" s="75"/>
    </row>
    <row r="102" spans="3:7" x14ac:dyDescent="0.2">
      <c r="C102" s="77" t="s">
        <v>75</v>
      </c>
      <c r="F102" s="75"/>
    </row>
    <row r="103" spans="3:7" x14ac:dyDescent="0.2">
      <c r="C103" s="73"/>
      <c r="F103" s="75"/>
    </row>
    <row r="104" spans="3:7" x14ac:dyDescent="0.2">
      <c r="C104" s="73"/>
      <c r="F104" s="75"/>
    </row>
    <row r="105" spans="3:7" x14ac:dyDescent="0.2">
      <c r="C105" s="358" t="s">
        <v>65</v>
      </c>
      <c r="D105" s="83">
        <v>2.8643000000000001</v>
      </c>
      <c r="E105" s="74">
        <v>588.42999999999995</v>
      </c>
      <c r="F105" s="359"/>
      <c r="G105" s="591" t="s">
        <v>292</v>
      </c>
    </row>
    <row r="106" spans="3:7" x14ac:dyDescent="0.2">
      <c r="C106" s="358" t="s">
        <v>66</v>
      </c>
      <c r="D106" s="83">
        <v>1.5461</v>
      </c>
      <c r="E106" s="74">
        <v>287.11</v>
      </c>
      <c r="F106" s="359"/>
      <c r="G106" s="591" t="s">
        <v>292</v>
      </c>
    </row>
    <row r="107" spans="3:7" x14ac:dyDescent="0.2">
      <c r="C107" s="358" t="s">
        <v>67</v>
      </c>
      <c r="D107" s="83">
        <v>2.1246999999999998</v>
      </c>
      <c r="E107" s="74">
        <v>375.99</v>
      </c>
      <c r="F107" s="359"/>
      <c r="G107" s="591" t="s">
        <v>292</v>
      </c>
    </row>
    <row r="108" spans="3:7" x14ac:dyDescent="0.2">
      <c r="C108" s="358" t="s">
        <v>69</v>
      </c>
      <c r="D108" s="83">
        <v>1.3994</v>
      </c>
      <c r="E108" s="74">
        <v>200.14</v>
      </c>
      <c r="F108" s="359"/>
      <c r="G108" s="591" t="s">
        <v>292</v>
      </c>
    </row>
    <row r="109" spans="3:7" x14ac:dyDescent="0.2">
      <c r="C109" s="362" t="s">
        <v>70</v>
      </c>
      <c r="D109" s="83">
        <v>3.0999999999999999E-3</v>
      </c>
      <c r="E109" s="84">
        <v>0.109</v>
      </c>
      <c r="F109" s="359">
        <v>381.5</v>
      </c>
      <c r="G109" s="591" t="s">
        <v>292</v>
      </c>
    </row>
    <row r="110" spans="3:7" x14ac:dyDescent="0.2">
      <c r="C110" s="362" t="s">
        <v>72</v>
      </c>
      <c r="D110" s="83">
        <v>1.9E-3</v>
      </c>
      <c r="E110" s="84">
        <v>0.22600000000000001</v>
      </c>
      <c r="F110" s="359">
        <v>282.5</v>
      </c>
      <c r="G110" s="591" t="s">
        <v>292</v>
      </c>
    </row>
    <row r="111" spans="3:7" x14ac:dyDescent="0.2">
      <c r="C111" s="362" t="s">
        <v>71</v>
      </c>
      <c r="D111" s="83">
        <v>1.4E-3</v>
      </c>
      <c r="E111" s="84">
        <v>0.35099999999999998</v>
      </c>
      <c r="F111" s="359">
        <v>175.5</v>
      </c>
      <c r="G111" s="591" t="s">
        <v>292</v>
      </c>
    </row>
    <row r="112" spans="3:7" x14ac:dyDescent="0.2">
      <c r="C112" s="358"/>
      <c r="F112" s="359"/>
      <c r="G112" s="591"/>
    </row>
    <row r="113" spans="3:7" x14ac:dyDescent="0.2">
      <c r="C113" s="358" t="s">
        <v>176</v>
      </c>
      <c r="D113" s="74">
        <v>58509</v>
      </c>
      <c r="E113" s="353">
        <v>-0.45400000000000001</v>
      </c>
      <c r="F113" s="363">
        <v>1</v>
      </c>
      <c r="G113" s="591" t="s">
        <v>292</v>
      </c>
    </row>
    <row r="114" spans="3:7" x14ac:dyDescent="0.2">
      <c r="C114" s="358" t="s">
        <v>175</v>
      </c>
      <c r="D114" s="74">
        <v>45507</v>
      </c>
      <c r="E114" s="353">
        <v>-0.45400000000000001</v>
      </c>
      <c r="F114" s="363">
        <v>1</v>
      </c>
      <c r="G114" s="591" t="s">
        <v>292</v>
      </c>
    </row>
    <row r="115" spans="3:7" x14ac:dyDescent="0.2">
      <c r="C115" s="358" t="s">
        <v>178</v>
      </c>
      <c r="D115" s="74">
        <v>39006</v>
      </c>
      <c r="E115" s="353">
        <v>-0.45400000000000001</v>
      </c>
      <c r="F115" s="363">
        <v>1</v>
      </c>
      <c r="G115" s="591" t="s">
        <v>292</v>
      </c>
    </row>
    <row r="116" spans="3:7" x14ac:dyDescent="0.2">
      <c r="C116" s="358" t="s">
        <v>177</v>
      </c>
      <c r="D116" s="74">
        <v>30338</v>
      </c>
      <c r="E116" s="353">
        <v>-0.45400000000000001</v>
      </c>
      <c r="F116" s="363">
        <v>1</v>
      </c>
      <c r="G116" s="591" t="s">
        <v>292</v>
      </c>
    </row>
    <row r="117" spans="3:7" x14ac:dyDescent="0.2">
      <c r="C117" s="423" t="s">
        <v>242</v>
      </c>
      <c r="D117" s="74">
        <v>39006</v>
      </c>
      <c r="E117" s="353">
        <v>-0.45400000000000001</v>
      </c>
      <c r="F117" s="363">
        <v>1</v>
      </c>
      <c r="G117" s="591" t="s">
        <v>292</v>
      </c>
    </row>
    <row r="118" spans="3:7" x14ac:dyDescent="0.2">
      <c r="C118" s="423" t="s">
        <v>241</v>
      </c>
      <c r="D118" s="74">
        <v>30338</v>
      </c>
      <c r="E118" s="353">
        <v>-0.45400000000000001</v>
      </c>
      <c r="F118" s="363">
        <v>1</v>
      </c>
      <c r="G118" s="591" t="s">
        <v>292</v>
      </c>
    </row>
    <row r="119" spans="3:7" x14ac:dyDescent="0.2">
      <c r="C119" s="364" t="s">
        <v>185</v>
      </c>
      <c r="D119" s="328">
        <v>58509</v>
      </c>
      <c r="E119" s="354">
        <v>-0.45400000000000001</v>
      </c>
      <c r="F119" s="365">
        <v>1</v>
      </c>
      <c r="G119" s="591" t="s">
        <v>292</v>
      </c>
    </row>
    <row r="120" spans="3:7" x14ac:dyDescent="0.2">
      <c r="C120" s="364" t="s">
        <v>186</v>
      </c>
      <c r="D120" s="328">
        <v>45507</v>
      </c>
      <c r="E120" s="354">
        <v>-0.45400000000000001</v>
      </c>
      <c r="F120" s="365">
        <v>1</v>
      </c>
      <c r="G120" s="591" t="s">
        <v>292</v>
      </c>
    </row>
    <row r="121" spans="3:7" x14ac:dyDescent="0.2">
      <c r="C121" s="364" t="s">
        <v>187</v>
      </c>
      <c r="D121" s="328">
        <v>39006</v>
      </c>
      <c r="E121" s="354">
        <v>-0.45400000000000001</v>
      </c>
      <c r="F121" s="365">
        <v>1</v>
      </c>
      <c r="G121" s="591" t="s">
        <v>292</v>
      </c>
    </row>
    <row r="122" spans="3:7" x14ac:dyDescent="0.2">
      <c r="C122" s="364" t="s">
        <v>188</v>
      </c>
      <c r="D122" s="328">
        <v>30338</v>
      </c>
      <c r="E122" s="354">
        <v>-0.45400000000000001</v>
      </c>
      <c r="F122" s="365">
        <v>1</v>
      </c>
      <c r="G122" s="591" t="s">
        <v>292</v>
      </c>
    </row>
    <row r="123" spans="3:7" x14ac:dyDescent="0.2">
      <c r="C123" s="422" t="s">
        <v>239</v>
      </c>
      <c r="D123" s="328">
        <v>11791</v>
      </c>
      <c r="E123" s="354">
        <v>-0.46300000000000002</v>
      </c>
      <c r="F123" s="365">
        <v>1.5</v>
      </c>
      <c r="G123" s="591" t="s">
        <v>292</v>
      </c>
    </row>
    <row r="124" spans="3:7" x14ac:dyDescent="0.2">
      <c r="C124" s="422" t="s">
        <v>240</v>
      </c>
      <c r="D124" s="328">
        <v>11791</v>
      </c>
      <c r="E124" s="354">
        <v>-0.46300000000000002</v>
      </c>
      <c r="F124" s="365">
        <v>1</v>
      </c>
      <c r="G124" s="591" t="s">
        <v>292</v>
      </c>
    </row>
    <row r="125" spans="3:7" x14ac:dyDescent="0.2">
      <c r="C125" s="423" t="s">
        <v>180</v>
      </c>
      <c r="D125" s="74">
        <v>58509</v>
      </c>
      <c r="E125" s="353">
        <v>-0.45400000000000001</v>
      </c>
      <c r="F125" s="363">
        <v>0.8</v>
      </c>
      <c r="G125" s="591" t="s">
        <v>292</v>
      </c>
    </row>
    <row r="126" spans="3:7" x14ac:dyDescent="0.2">
      <c r="C126" s="358" t="s">
        <v>179</v>
      </c>
      <c r="D126" s="74">
        <v>45507</v>
      </c>
      <c r="E126" s="353">
        <v>-0.45400000000000001</v>
      </c>
      <c r="F126" s="363">
        <v>0.8</v>
      </c>
      <c r="G126" s="591" t="s">
        <v>292</v>
      </c>
    </row>
    <row r="127" spans="3:7" x14ac:dyDescent="0.2">
      <c r="C127" s="358" t="s">
        <v>182</v>
      </c>
      <c r="D127" s="74">
        <v>39006</v>
      </c>
      <c r="E127" s="353">
        <v>-0.45400000000000001</v>
      </c>
      <c r="F127" s="363">
        <v>0.8</v>
      </c>
      <c r="G127" s="591" t="s">
        <v>292</v>
      </c>
    </row>
    <row r="128" spans="3:7" x14ac:dyDescent="0.2">
      <c r="C128" s="423" t="s">
        <v>181</v>
      </c>
      <c r="D128" s="74">
        <v>30338</v>
      </c>
      <c r="E128" s="353">
        <v>-0.45400000000000001</v>
      </c>
      <c r="F128" s="363">
        <v>0.8</v>
      </c>
      <c r="G128" s="591" t="s">
        <v>292</v>
      </c>
    </row>
    <row r="129" spans="3:7" x14ac:dyDescent="0.2">
      <c r="C129" s="424" t="s">
        <v>237</v>
      </c>
      <c r="D129" s="74">
        <v>11791</v>
      </c>
      <c r="E129" s="353">
        <v>-0.46300000000000002</v>
      </c>
      <c r="F129" s="363">
        <v>1.8</v>
      </c>
      <c r="G129" s="591" t="s">
        <v>292</v>
      </c>
    </row>
    <row r="130" spans="3:7" ht="13.5" thickBot="1" x14ac:dyDescent="0.25">
      <c r="C130" s="421" t="s">
        <v>238</v>
      </c>
      <c r="D130" s="366">
        <v>11791</v>
      </c>
      <c r="E130" s="367">
        <v>-0.46300000000000002</v>
      </c>
      <c r="F130" s="368">
        <v>1.2</v>
      </c>
      <c r="G130" s="591" t="s">
        <v>292</v>
      </c>
    </row>
    <row r="132" spans="3:7" x14ac:dyDescent="0.2">
      <c r="C132" s="612" t="s">
        <v>293</v>
      </c>
      <c r="D132" s="611">
        <f>SUM(D105:D130)</f>
        <v>636595.94090000005</v>
      </c>
      <c r="E132" s="611">
        <f t="shared" ref="E132:F132" si="28">SUM(E105:E130)</f>
        <v>1444.148000000001</v>
      </c>
      <c r="F132" s="611">
        <f t="shared" si="28"/>
        <v>858.19999999999982</v>
      </c>
    </row>
  </sheetData>
  <sheetProtection algorithmName="SHA-512" hashValue="Q5G4m9piq5w8f/+zu2iXJr0IqnAbnaA29MR3SZd0Sb+TDYtzkQxZtWXo1ee5WfLK4bw1xXDpoklt0YX3P+RP2Q==" saltValue="qSZJ1J4JXZIIZnF6Y7zqWQ==" spinCount="100000" sheet="1" objects="1" scenarios="1"/>
  <autoFilter ref="A3:AF130" xr:uid="{00000000-0009-0000-0000-000008000000}"/>
  <dataConsolidate/>
  <phoneticPr fontId="11" type="noConversion"/>
  <conditionalFormatting sqref="M7:N9">
    <cfRule type="containsText" dxfId="39" priority="25" operator="containsText" text="tatsächl.">
      <formula>NOT(ISERROR(SEARCH("tatsächl.",M7)))</formula>
    </cfRule>
    <cfRule type="containsText" dxfId="38" priority="26" operator="containsText" text="Richtwert">
      <formula>NOT(ISERROR(SEARCH("Richtwert",M7)))</formula>
    </cfRule>
  </conditionalFormatting>
  <conditionalFormatting sqref="M13:N24">
    <cfRule type="containsText" dxfId="37" priority="23" operator="containsText" text="tatsächl.">
      <formula>NOT(ISERROR(SEARCH("tatsächl.",M13)))</formula>
    </cfRule>
    <cfRule type="containsText" dxfId="36" priority="24" operator="containsText" text="Richtwert">
      <formula>NOT(ISERROR(SEARCH("Richtwert",M13)))</formula>
    </cfRule>
  </conditionalFormatting>
  <conditionalFormatting sqref="M27:N33">
    <cfRule type="containsText" dxfId="35" priority="15" operator="containsText" text="tatsächl.">
      <formula>NOT(ISERROR(SEARCH("tatsächl.",M27)))</formula>
    </cfRule>
    <cfRule type="containsText" dxfId="34" priority="16" operator="containsText" text="Richtwert">
      <formula>NOT(ISERROR(SEARCH("Richtwert",M27)))</formula>
    </cfRule>
  </conditionalFormatting>
  <conditionalFormatting sqref="M37:N39">
    <cfRule type="containsText" dxfId="33" priority="13" operator="containsText" text="tatsächl.">
      <formula>NOT(ISERROR(SEARCH("tatsächl.",M37)))</formula>
    </cfRule>
    <cfRule type="containsText" dxfId="32" priority="14" operator="containsText" text="Richtwert">
      <formula>NOT(ISERROR(SEARCH("Richtwert",M37)))</formula>
    </cfRule>
  </conditionalFormatting>
  <conditionalFormatting sqref="M43:N48">
    <cfRule type="containsText" dxfId="31" priority="11" operator="containsText" text="tatsächl.">
      <formula>NOT(ISERROR(SEARCH("tatsächl.",M43)))</formula>
    </cfRule>
    <cfRule type="containsText" dxfId="30" priority="12" operator="containsText" text="Richtwert">
      <formula>NOT(ISERROR(SEARCH("Richtwert",M43)))</formula>
    </cfRule>
  </conditionalFormatting>
  <conditionalFormatting sqref="U8:V9">
    <cfRule type="containsText" dxfId="29" priority="9" operator="containsText" text="tatsächl.">
      <formula>NOT(ISERROR(SEARCH("tatsächl.",U8)))</formula>
    </cfRule>
    <cfRule type="containsText" dxfId="28" priority="10" operator="containsText" text="Richtwert">
      <formula>NOT(ISERROR(SEARCH("Richtwert",U8)))</formula>
    </cfRule>
  </conditionalFormatting>
  <conditionalFormatting sqref="U13:V24">
    <cfRule type="containsText" dxfId="27" priority="7" operator="containsText" text="tatsächl.">
      <formula>NOT(ISERROR(SEARCH("tatsächl.",U13)))</formula>
    </cfRule>
    <cfRule type="containsText" dxfId="26" priority="8" operator="containsText" text="Richtwert">
      <formula>NOT(ISERROR(SEARCH("Richtwert",U13)))</formula>
    </cfRule>
  </conditionalFormatting>
  <conditionalFormatting sqref="U27:V33">
    <cfRule type="containsText" dxfId="25" priority="5" operator="containsText" text="tatsächl.">
      <formula>NOT(ISERROR(SEARCH("tatsächl.",U27)))</formula>
    </cfRule>
    <cfRule type="containsText" dxfId="24" priority="6" operator="containsText" text="Richtwert">
      <formula>NOT(ISERROR(SEARCH("Richtwert",U27)))</formula>
    </cfRule>
  </conditionalFormatting>
  <conditionalFormatting sqref="U37:V39">
    <cfRule type="containsText" dxfId="23" priority="3" operator="containsText" text="tatsächl.">
      <formula>NOT(ISERROR(SEARCH("tatsächl.",U37)))</formula>
    </cfRule>
    <cfRule type="containsText" dxfId="22" priority="4" operator="containsText" text="Richtwert">
      <formula>NOT(ISERROR(SEARCH("Richtwert",U37)))</formula>
    </cfRule>
  </conditionalFormatting>
  <conditionalFormatting sqref="U43:V48">
    <cfRule type="containsText" dxfId="21" priority="1" operator="containsText" text="tatsächl.">
      <formula>NOT(ISERROR(SEARCH("tatsächl.",U43)))</formula>
    </cfRule>
    <cfRule type="containsText" dxfId="20" priority="2" operator="containsText" text="Richtwert">
      <formula>NOT(ISERROR(SEARCH("Richtwert",U43)))</formula>
    </cfRule>
  </conditionalFormatting>
  <dataValidations disablePrompts="1" count="3">
    <dataValidation type="list" allowBlank="1" showInputMessage="1" showErrorMessage="1" sqref="O7 O43:O48 O13:O24 O27:O34" xr:uid="{00000000-0002-0000-0800-000000000000}">
      <formula1>$K$4:$L$4</formula1>
    </dataValidation>
    <dataValidation type="whole" operator="greaterThan" allowBlank="1" showInputMessage="1" showErrorMessage="1" errorTitle="titel" error="meldung" sqref="J13:J24" xr:uid="{00000000-0002-0000-0800-000001000000}">
      <formula1>0</formula1>
    </dataValidation>
    <dataValidation type="custom" allowBlank="1" showInputMessage="1" showErrorMessage="1" errorTitle="Tiel" sqref="AF40:AF41 AF13:AF24" xr:uid="{00000000-0002-0000-0800-000002000000}">
      <formula1>IF(AND(G13="Freispiegel",H13="Straße ländlich"),"",0)</formula1>
    </dataValidation>
  </dataValidations>
  <pageMargins left="0.59055118110236227" right="0.59055118110236227" top="0.98425196850393704" bottom="0.78740157480314965" header="0.78740157480314965" footer="0.59055118110236227"/>
  <pageSetup paperSize="9" scale="49" orientation="landscape" r:id="rId1"/>
  <headerFooter alignWithMargins="0">
    <oddHeader>&amp;R&amp;"Arial,Fett"&amp;8Jedele und Partner GmbH</oddHeader>
    <oddFooter>&amp;L&amp;6&amp;F   &amp;A   &amp;D</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11</vt:i4>
      </vt:variant>
      <vt:variant>
        <vt:lpstr>Diagramme</vt:lpstr>
      </vt:variant>
      <vt:variant>
        <vt:i4>8</vt:i4>
      </vt:variant>
      <vt:variant>
        <vt:lpstr>Benannte Bereiche</vt:lpstr>
      </vt:variant>
      <vt:variant>
        <vt:i4>7</vt:i4>
      </vt:variant>
    </vt:vector>
  </HeadingPairs>
  <TitlesOfParts>
    <vt:vector size="26" baseType="lpstr">
      <vt:lpstr>Hinweise</vt:lpstr>
      <vt:lpstr>Erläuterungen</vt:lpstr>
      <vt:lpstr>Eingabe_1</vt:lpstr>
      <vt:lpstr>Eingabe_2</vt:lpstr>
      <vt:lpstr>Ergebnis</vt:lpstr>
      <vt:lpstr>Kosten Variante1</vt:lpstr>
      <vt:lpstr>Kosten Variante2</vt:lpstr>
      <vt:lpstr>Kosten Variante3</vt:lpstr>
      <vt:lpstr>Kosten Variante4</vt:lpstr>
      <vt:lpstr>Kosten Variante5</vt:lpstr>
      <vt:lpstr>PKBW Zeit</vt:lpstr>
      <vt:lpstr>PKBW 25 u 50</vt:lpstr>
      <vt:lpstr>PKBW 0-50</vt:lpstr>
      <vt:lpstr>NWK 25 u 50</vt:lpstr>
      <vt:lpstr>NWK 0-50</vt:lpstr>
      <vt:lpstr>Wichtung</vt:lpstr>
      <vt:lpstr>Nutzen</vt:lpstr>
      <vt:lpstr>Teilnutzwert</vt:lpstr>
      <vt:lpstr>Nutzwert</vt:lpstr>
      <vt:lpstr>Eingabe_1!Druckbereich</vt:lpstr>
      <vt:lpstr>Eingabe_2!Druckbereich</vt:lpstr>
      <vt:lpstr>'Kosten Variante1'!Druckbereich</vt:lpstr>
      <vt:lpstr>'Kosten Variante2'!Druckbereich</vt:lpstr>
      <vt:lpstr>'Kosten Variante3'!Druckbereich</vt:lpstr>
      <vt:lpstr>'Kosten Variante4'!Druckbereich</vt:lpstr>
      <vt:lpstr>'Kosten Variante5'!Druckbereich</vt:lpstr>
    </vt:vector>
  </TitlesOfParts>
  <Company>jup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soldner</dc:creator>
  <cp:lastModifiedBy>Mario Soldner</cp:lastModifiedBy>
  <cp:lastPrinted>2020-07-10T12:10:25Z</cp:lastPrinted>
  <dcterms:created xsi:type="dcterms:W3CDTF">2009-04-02T14:20:12Z</dcterms:created>
  <dcterms:modified xsi:type="dcterms:W3CDTF">2025-03-03T11:16:32Z</dcterms:modified>
</cp:coreProperties>
</file>